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81121A7F-02E9-4BD8-8289-F38D3D867A7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6" r:id="rId1"/>
    <sheet name="Ateneo" sheetId="1" r:id="rId2"/>
    <sheet name="Dipartimenti" sheetId="4" r:id="rId3"/>
    <sheet name="CdS" sheetId="3" r:id="rId4"/>
    <sheet name="Strutture" sheetId="5" r:id="rId5"/>
    <sheet name="Strutture Dipartimenti" sheetId="10" r:id="rId6"/>
    <sheet name="Organizzazione esami" sheetId="7" r:id="rId7"/>
  </sheets>
  <definedNames>
    <definedName name="_xlnm._FilterDatabase" localSheetId="3" hidden="1">CdS!$A$3:$N$92</definedName>
  </definedNames>
  <calcPr calcId="191029"/>
</workbook>
</file>

<file path=xl/calcChain.xml><?xml version="1.0" encoding="utf-8"?>
<calcChain xmlns="http://schemas.openxmlformats.org/spreadsheetml/2006/main">
  <c r="J34" i="3" l="1"/>
  <c r="L89" i="3" l="1"/>
  <c r="J89" i="3"/>
  <c r="H89" i="3"/>
  <c r="L88" i="3"/>
  <c r="J88" i="3"/>
  <c r="H88" i="3"/>
  <c r="L87" i="3"/>
  <c r="J87" i="3"/>
  <c r="H87" i="3"/>
  <c r="L86" i="3"/>
  <c r="J86" i="3"/>
  <c r="H86" i="3"/>
  <c r="L79" i="3"/>
  <c r="J79" i="3"/>
  <c r="H79" i="3"/>
  <c r="L72" i="3"/>
  <c r="J72" i="3"/>
  <c r="H72" i="3"/>
  <c r="L68" i="3"/>
  <c r="J68" i="3"/>
  <c r="H68" i="3"/>
  <c r="L54" i="3"/>
  <c r="J54" i="3"/>
  <c r="H54" i="3"/>
  <c r="L53" i="3"/>
  <c r="J53" i="3"/>
  <c r="H53" i="3"/>
  <c r="L78" i="3"/>
  <c r="J78" i="3"/>
  <c r="H78" i="3"/>
  <c r="L81" i="3"/>
  <c r="J81" i="3"/>
  <c r="H81" i="3"/>
  <c r="L80" i="3"/>
  <c r="J80" i="3"/>
  <c r="H80" i="3"/>
  <c r="L82" i="3"/>
  <c r="J82" i="3"/>
  <c r="H82" i="3"/>
  <c r="L77" i="3"/>
  <c r="J77" i="3"/>
  <c r="H77" i="3"/>
  <c r="L76" i="3"/>
  <c r="J76" i="3"/>
  <c r="H76" i="3"/>
  <c r="L75" i="3"/>
  <c r="J75" i="3"/>
  <c r="H75" i="3"/>
  <c r="L73" i="3"/>
  <c r="J73" i="3"/>
  <c r="H73" i="3"/>
  <c r="L55" i="3"/>
  <c r="J55" i="3"/>
  <c r="H55" i="3"/>
  <c r="L66" i="3"/>
  <c r="L62" i="3"/>
  <c r="J66" i="3"/>
  <c r="J62" i="3"/>
  <c r="H66" i="3"/>
  <c r="H62" i="3"/>
  <c r="L52" i="3"/>
  <c r="J52" i="3"/>
  <c r="H52" i="3"/>
  <c r="L71" i="3"/>
  <c r="J71" i="3"/>
  <c r="H71" i="3"/>
  <c r="L50" i="3"/>
  <c r="J50" i="3"/>
  <c r="H50" i="3"/>
  <c r="L74" i="3"/>
  <c r="J74" i="3"/>
  <c r="H74" i="3"/>
  <c r="L45" i="3"/>
  <c r="J45" i="3"/>
  <c r="H45" i="3"/>
  <c r="L63" i="3"/>
  <c r="J63" i="3"/>
  <c r="H63" i="3"/>
  <c r="L59" i="3"/>
  <c r="J59" i="3"/>
  <c r="H59" i="3"/>
  <c r="L51" i="3"/>
  <c r="J51" i="3"/>
  <c r="H51" i="3"/>
  <c r="L56" i="3"/>
  <c r="J56" i="3"/>
  <c r="H56" i="3"/>
  <c r="L60" i="3"/>
  <c r="J60" i="3"/>
  <c r="H60" i="3"/>
  <c r="L64" i="3"/>
  <c r="J64" i="3"/>
  <c r="H64" i="3"/>
  <c r="L65" i="3"/>
  <c r="J65" i="3"/>
  <c r="H65" i="3"/>
  <c r="L67" i="3"/>
  <c r="L61" i="3"/>
  <c r="J67" i="3"/>
  <c r="J61" i="3"/>
  <c r="H67" i="3"/>
  <c r="H61" i="3"/>
  <c r="L49" i="3"/>
  <c r="J49" i="3"/>
  <c r="H49" i="3"/>
  <c r="L83" i="3"/>
  <c r="J83" i="3"/>
  <c r="H83" i="3"/>
  <c r="L48" i="3"/>
  <c r="L47" i="3"/>
  <c r="J48" i="3"/>
  <c r="J47" i="3"/>
  <c r="H48" i="3"/>
  <c r="H47" i="3"/>
  <c r="L46" i="3"/>
  <c r="J46" i="3"/>
  <c r="H46" i="3"/>
  <c r="L44" i="3"/>
  <c r="J44" i="3"/>
  <c r="H44" i="3"/>
  <c r="L9" i="3" l="1"/>
  <c r="J9" i="3"/>
  <c r="H9" i="3"/>
  <c r="L28" i="3"/>
  <c r="J28" i="3"/>
  <c r="H28" i="3"/>
  <c r="L32" i="3"/>
  <c r="J32" i="3"/>
  <c r="H32" i="3"/>
  <c r="L19" i="3"/>
  <c r="J19" i="3"/>
  <c r="H19" i="3"/>
  <c r="L27" i="3"/>
  <c r="J27" i="3"/>
  <c r="H27" i="3"/>
  <c r="L31" i="3"/>
  <c r="J31" i="3"/>
  <c r="H31" i="3"/>
  <c r="L22" i="3"/>
  <c r="J22" i="3"/>
  <c r="H22" i="3"/>
  <c r="L26" i="3"/>
  <c r="J26" i="3"/>
  <c r="H26" i="3"/>
  <c r="L5" i="3"/>
  <c r="J5" i="3"/>
  <c r="H5" i="3"/>
  <c r="L30" i="3"/>
  <c r="J30" i="3"/>
  <c r="H30" i="3"/>
  <c r="L8" i="3"/>
  <c r="J8" i="3"/>
  <c r="H8" i="3"/>
  <c r="L29" i="3"/>
  <c r="J29" i="3"/>
  <c r="H29" i="3"/>
  <c r="L34" i="3"/>
  <c r="H34" i="3"/>
  <c r="L23" i="3" l="1"/>
  <c r="J23" i="3"/>
  <c r="H23" i="3"/>
  <c r="L41" i="3"/>
  <c r="L40" i="3"/>
  <c r="L39" i="3"/>
  <c r="L11" i="3"/>
  <c r="J41" i="3"/>
  <c r="J40" i="3"/>
  <c r="J39" i="3"/>
  <c r="J11" i="3"/>
  <c r="H41" i="3"/>
  <c r="H40" i="3"/>
  <c r="H39" i="3"/>
  <c r="H11" i="3"/>
  <c r="L7" i="3"/>
  <c r="J7" i="3"/>
  <c r="H7" i="3"/>
  <c r="L21" i="3"/>
  <c r="J21" i="3"/>
  <c r="H21" i="3"/>
  <c r="L12" i="3"/>
  <c r="J12" i="3"/>
  <c r="H12" i="3"/>
  <c r="L20" i="3"/>
  <c r="J20" i="3"/>
  <c r="H20" i="3"/>
  <c r="L18" i="3"/>
  <c r="J18" i="3"/>
  <c r="H18" i="3"/>
  <c r="L10" i="3"/>
  <c r="J10" i="3"/>
  <c r="H10" i="3"/>
  <c r="L36" i="3"/>
  <c r="J36" i="3"/>
  <c r="H36" i="3"/>
  <c r="L17" i="3"/>
  <c r="J17" i="3"/>
  <c r="H17" i="3"/>
  <c r="L35" i="3" l="1"/>
  <c r="J35" i="3"/>
  <c r="H35" i="3"/>
  <c r="L16" i="3" l="1"/>
  <c r="L13" i="3"/>
  <c r="J16" i="3"/>
  <c r="J13" i="3"/>
  <c r="H16" i="3"/>
  <c r="H13" i="3"/>
  <c r="L6" i="3"/>
  <c r="J6" i="3"/>
  <c r="H6" i="3"/>
  <c r="L33" i="3"/>
  <c r="J33" i="3"/>
  <c r="H33" i="3"/>
  <c r="L90" i="3"/>
  <c r="K90" i="3"/>
  <c r="J90" i="3"/>
  <c r="I90" i="3"/>
  <c r="H90" i="3"/>
  <c r="G90" i="3"/>
  <c r="K89" i="3"/>
  <c r="I89" i="3"/>
  <c r="G89" i="3"/>
  <c r="K88" i="3"/>
  <c r="I88" i="3"/>
  <c r="G88" i="3"/>
  <c r="K87" i="3"/>
  <c r="I87" i="3"/>
  <c r="G87" i="3"/>
  <c r="K86" i="3"/>
  <c r="I86" i="3"/>
  <c r="G86" i="3"/>
  <c r="K82" i="3"/>
  <c r="I82" i="3"/>
  <c r="G82" i="3"/>
  <c r="K79" i="3"/>
  <c r="I79" i="3"/>
  <c r="G79" i="3"/>
  <c r="K77" i="3" l="1"/>
  <c r="I77" i="3"/>
  <c r="G77" i="3"/>
  <c r="K76" i="3"/>
  <c r="I76" i="3"/>
  <c r="G76" i="3"/>
  <c r="K68" i="3"/>
  <c r="I68" i="3"/>
  <c r="G68" i="3"/>
  <c r="K75" i="3"/>
  <c r="I75" i="3"/>
  <c r="G75" i="3"/>
  <c r="K73" i="3"/>
  <c r="I73" i="3"/>
  <c r="G73" i="3"/>
  <c r="K80" i="3"/>
  <c r="I80" i="3"/>
  <c r="G80" i="3"/>
  <c r="K81" i="3"/>
  <c r="I81" i="3"/>
  <c r="G81" i="3"/>
  <c r="K66" i="3"/>
  <c r="I66" i="3"/>
  <c r="G66" i="3"/>
  <c r="K62" i="3"/>
  <c r="I62" i="3"/>
  <c r="G62" i="3"/>
  <c r="K52" i="3"/>
  <c r="I52" i="3"/>
  <c r="G52" i="3"/>
  <c r="K55" i="3"/>
  <c r="I55" i="3"/>
  <c r="G55" i="3"/>
  <c r="K54" i="3"/>
  <c r="I54" i="3"/>
  <c r="G54" i="3"/>
  <c r="K53" i="3"/>
  <c r="I53" i="3"/>
  <c r="G53" i="3"/>
  <c r="K71" i="3"/>
  <c r="I71" i="3"/>
  <c r="G71" i="3"/>
  <c r="K50" i="3"/>
  <c r="I50" i="3"/>
  <c r="G50" i="3"/>
  <c r="K74" i="3"/>
  <c r="I74" i="3"/>
  <c r="G74" i="3"/>
  <c r="K45" i="3"/>
  <c r="I45" i="3"/>
  <c r="G45" i="3"/>
  <c r="K63" i="3"/>
  <c r="I63" i="3"/>
  <c r="G63" i="3"/>
  <c r="K51" i="3"/>
  <c r="I51" i="3"/>
  <c r="G51" i="3"/>
  <c r="K59" i="3" l="1"/>
  <c r="I59" i="3"/>
  <c r="G59" i="3"/>
  <c r="K60" i="3"/>
  <c r="I60" i="3"/>
  <c r="G60" i="3"/>
  <c r="K64" i="3"/>
  <c r="I64" i="3"/>
  <c r="G64" i="3"/>
  <c r="K65" i="3"/>
  <c r="I65" i="3"/>
  <c r="G65" i="3"/>
  <c r="K67" i="3" l="1"/>
  <c r="I67" i="3"/>
  <c r="G67" i="3"/>
  <c r="K61" i="3"/>
  <c r="I61" i="3"/>
  <c r="G61" i="3"/>
  <c r="K49" i="3"/>
  <c r="I49" i="3"/>
  <c r="G49" i="3"/>
  <c r="K83" i="3"/>
  <c r="I83" i="3"/>
  <c r="G83" i="3"/>
  <c r="K48" i="3"/>
  <c r="I48" i="3"/>
  <c r="G48" i="3"/>
  <c r="K47" i="3"/>
  <c r="I47" i="3"/>
  <c r="G47" i="3"/>
  <c r="K46" i="3"/>
  <c r="I46" i="3"/>
  <c r="G46" i="3"/>
  <c r="K44" i="3"/>
  <c r="I44" i="3"/>
  <c r="G44" i="3"/>
  <c r="K28" i="3"/>
  <c r="I28" i="3"/>
  <c r="G28" i="3"/>
  <c r="K32" i="3"/>
  <c r="I32" i="3"/>
  <c r="G32" i="3"/>
  <c r="K19" i="3"/>
  <c r="I19" i="3"/>
  <c r="G19" i="3"/>
  <c r="K31" i="3"/>
  <c r="I31" i="3"/>
  <c r="G31" i="3"/>
  <c r="K22" i="3"/>
  <c r="I22" i="3"/>
  <c r="G22" i="3"/>
  <c r="K26" i="3"/>
  <c r="I26" i="3"/>
  <c r="G26" i="3"/>
  <c r="K5" i="3" l="1"/>
  <c r="I5" i="3"/>
  <c r="G5" i="3"/>
  <c r="K30" i="3"/>
  <c r="I30" i="3"/>
  <c r="G30" i="3"/>
  <c r="K8" i="3"/>
  <c r="I8" i="3"/>
  <c r="G8" i="3"/>
  <c r="K29" i="3"/>
  <c r="I29" i="3"/>
  <c r="G29" i="3"/>
  <c r="K34" i="3"/>
  <c r="I34" i="3"/>
  <c r="G34" i="3"/>
  <c r="K23" i="3"/>
  <c r="I23" i="3"/>
  <c r="G23" i="3"/>
  <c r="K41" i="3"/>
  <c r="I41" i="3"/>
  <c r="G41" i="3"/>
  <c r="K40" i="3"/>
  <c r="I40" i="3"/>
  <c r="G40" i="3"/>
  <c r="K39" i="3"/>
  <c r="I39" i="3"/>
  <c r="G39" i="3"/>
  <c r="K11" i="3"/>
  <c r="I11" i="3"/>
  <c r="G11" i="3"/>
  <c r="K7" i="3"/>
  <c r="I7" i="3"/>
  <c r="G7" i="3"/>
  <c r="K21" i="3"/>
  <c r="I21" i="3"/>
  <c r="G21" i="3"/>
  <c r="K12" i="3"/>
  <c r="I12" i="3"/>
  <c r="G12" i="3"/>
  <c r="K20" i="3"/>
  <c r="I20" i="3"/>
  <c r="G20" i="3"/>
  <c r="K18" i="3"/>
  <c r="I18" i="3"/>
  <c r="G18" i="3"/>
  <c r="K10" i="3"/>
  <c r="I10" i="3"/>
  <c r="G10" i="3"/>
  <c r="K36" i="3"/>
  <c r="I36" i="3"/>
  <c r="G36" i="3"/>
  <c r="K17" i="3"/>
  <c r="I17" i="3"/>
  <c r="G17" i="3"/>
  <c r="K35" i="3"/>
  <c r="I35" i="3"/>
  <c r="G35" i="3"/>
  <c r="K16" i="3"/>
  <c r="I16" i="3"/>
  <c r="G16" i="3"/>
  <c r="K13" i="3"/>
  <c r="I13" i="3"/>
  <c r="G13" i="3"/>
  <c r="K6" i="3"/>
  <c r="I6" i="3"/>
  <c r="G6" i="3"/>
  <c r="K33" i="3"/>
  <c r="I33" i="3"/>
  <c r="G33" i="3"/>
  <c r="M19" i="4" l="1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E19" i="4"/>
  <c r="E18" i="4" l="1"/>
  <c r="D19" i="4"/>
  <c r="D18" i="4"/>
  <c r="C19" i="4"/>
  <c r="I26" i="1"/>
  <c r="C18" i="4"/>
  <c r="B19" i="4"/>
  <c r="B18" i="4"/>
  <c r="E17" i="4"/>
  <c r="D17" i="4"/>
  <c r="C17" i="4"/>
  <c r="B17" i="4"/>
  <c r="E16" i="4"/>
  <c r="D16" i="4"/>
  <c r="C16" i="4"/>
  <c r="B16" i="4"/>
  <c r="E15" i="4"/>
  <c r="D15" i="4"/>
  <c r="C15" i="4"/>
  <c r="B15" i="4"/>
  <c r="E14" i="4"/>
  <c r="D14" i="4"/>
  <c r="C14" i="4"/>
  <c r="B14" i="4"/>
  <c r="E13" i="4"/>
  <c r="D13" i="4"/>
  <c r="C13" i="4"/>
  <c r="B13" i="4"/>
  <c r="E12" i="4"/>
  <c r="D12" i="4"/>
  <c r="C12" i="4"/>
  <c r="B12" i="4"/>
  <c r="E11" i="4"/>
  <c r="D11" i="4"/>
  <c r="C11" i="4"/>
  <c r="B11" i="4"/>
  <c r="E10" i="4"/>
  <c r="D10" i="4"/>
  <c r="C10" i="4"/>
  <c r="B10" i="4"/>
  <c r="E9" i="4"/>
  <c r="D9" i="4"/>
  <c r="C9" i="4"/>
  <c r="B9" i="4"/>
  <c r="E8" i="4" l="1"/>
  <c r="D8" i="4"/>
  <c r="C8" i="4"/>
  <c r="B8" i="4"/>
  <c r="E7" i="4"/>
  <c r="D7" i="4"/>
  <c r="C7" i="4"/>
  <c r="B7" i="4"/>
  <c r="E6" i="4"/>
  <c r="D6" i="4"/>
  <c r="C6" i="4"/>
  <c r="B6" i="4"/>
  <c r="I19" i="4" l="1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E4" i="4"/>
  <c r="E5" i="4"/>
  <c r="D5" i="4"/>
  <c r="C5" i="4"/>
  <c r="B5" i="4"/>
  <c r="D4" i="4"/>
  <c r="C4" i="4"/>
  <c r="B4" i="4"/>
  <c r="K25" i="1" l="1"/>
  <c r="I25" i="1"/>
  <c r="G25" i="1"/>
  <c r="K24" i="1"/>
  <c r="I24" i="1"/>
  <c r="G24" i="1"/>
  <c r="K23" i="1" l="1"/>
  <c r="I23" i="1"/>
  <c r="G23" i="1"/>
  <c r="K26" i="1" l="1"/>
  <c r="G26" i="1"/>
  <c r="J26" i="1" l="1"/>
  <c r="J25" i="1"/>
  <c r="H25" i="1"/>
  <c r="F25" i="1"/>
  <c r="J24" i="1" l="1"/>
  <c r="H24" i="1"/>
  <c r="F24" i="1"/>
  <c r="J23" i="1" l="1"/>
  <c r="H23" i="1"/>
  <c r="F23" i="1"/>
  <c r="H26" i="1" l="1"/>
  <c r="F26" i="1"/>
</calcChain>
</file>

<file path=xl/sharedStrings.xml><?xml version="1.0" encoding="utf-8"?>
<sst xmlns="http://schemas.openxmlformats.org/spreadsheetml/2006/main" count="660" uniqueCount="223">
  <si>
    <t>Tipologia di laurea</t>
  </si>
  <si>
    <t>% femmine</t>
  </si>
  <si>
    <t>% cittadinanza straniera</t>
  </si>
  <si>
    <t>Unisi</t>
  </si>
  <si>
    <t>Nazionale</t>
  </si>
  <si>
    <t>% residenti altra regione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</si>
  <si>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</si>
  <si>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</si>
  <si>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</si>
  <si>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</si>
  <si>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</si>
  <si>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</si>
  <si>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</si>
  <si>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</si>
  <si>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</si>
  <si>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</si>
  <si>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</si>
  <si>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</si>
  <si>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</si>
  <si>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</si>
  <si>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</si>
  <si>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</si>
  <si>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</si>
  <si>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</si>
  <si>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</si>
  <si>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</si>
  <si>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</si>
  <si>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</si>
  <si>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</si>
  <si>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</si>
  <si>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</si>
  <si>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</si>
  <si>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</si>
  <si>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</si>
  <si>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</si>
  <si>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</si>
  <si>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</si>
  <si>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</si>
  <si>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</si>
  <si>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</si>
  <si>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</si>
  <si>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</si>
  <si>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</si>
  <si>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</si>
  <si>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</si>
  <si>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</si>
  <si>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</si>
  <si>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</si>
  <si>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</si>
  <si>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</si>
  <si>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</si>
  <si>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</si>
  <si>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</si>
  <si>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</si>
  <si>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</si>
  <si>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</si>
  <si>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</si>
  <si>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</si>
  <si>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</si>
  <si>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</si>
  <si>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</si>
  <si>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</si>
  <si>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</si>
  <si>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</si>
  <si>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</si>
  <si>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</si>
  <si>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</si>
  <si>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</si>
  <si>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</si>
  <si>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</si>
  <si>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</si>
  <si>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</si>
  <si>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</si>
  <si>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</si>
  <si>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</si>
  <si>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</si>
  <si>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</si>
  <si>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</si>
  <si>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</si>
  <si>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</si>
  <si>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</si>
  <si>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</si>
  <si>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</si>
  <si>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</si>
  <si>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</si>
  <si>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</si>
  <si>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</si>
  <si>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</si>
  <si>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</si>
  <si>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</si>
  <si>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</si>
  <si>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</si>
  <si>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</si>
  <si>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</si>
  <si>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</si>
  <si>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</si>
  <si>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</si>
  <si>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</si>
  <si>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</si>
  <si>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</si>
  <si>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</si>
  <si>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</si>
  <si>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</si>
  <si>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LM-32</t>
  </si>
  <si>
    <t>Economia e Gestione degli Intermediari finanziari</t>
  </si>
  <si>
    <t>LM-77</t>
  </si>
  <si>
    <t>LM-56</t>
  </si>
  <si>
    <t>Ecotossicologia e Sostenibilità ambientale</t>
  </si>
  <si>
    <t>LM-75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</si>
  <si>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</si>
  <si>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</si>
  <si>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</si>
  <si>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</si>
  <si>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</si>
  <si>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</si>
  <si>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</si>
  <si>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</si>
  <si>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</si>
  <si>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</si>
  <si>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</si>
  <si>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</si>
  <si>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</si>
  <si>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</si>
  <si>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</si>
  <si>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</si>
  <si>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</si>
  <si>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</si>
  <si>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</si>
  <si>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</si>
  <si>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</si>
  <si>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</si>
  <si>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</si>
  <si>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</si>
  <si>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LM-82</t>
  </si>
  <si>
    <t>Storia dell'Arte</t>
  </si>
  <si>
    <t>LM-89</t>
  </si>
  <si>
    <t>LM-92</t>
  </si>
  <si>
    <t>LM-13</t>
  </si>
  <si>
    <t>Farmacia</t>
  </si>
  <si>
    <t>LMG/01</t>
  </si>
  <si>
    <t>Medicina e Chirurgia</t>
  </si>
  <si>
    <t>LM-41</t>
  </si>
  <si>
    <t>Biologia</t>
  </si>
  <si>
    <t xml:space="preserve">Applied Mathematics-Matematica applicata 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</si>
  <si>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</si>
  <si>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</si>
  <si>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</si>
  <si>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</si>
  <si>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</si>
  <si>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</si>
  <si>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</si>
  <si>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</si>
  <si>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</si>
  <si>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</si>
  <si>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</si>
  <si>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</si>
  <si>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</si>
  <si>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</si>
  <si>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</si>
  <si>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</si>
  <si>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</si>
  <si>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LM-81</t>
  </si>
  <si>
    <t>Scienze delle Amministrazioni</t>
  </si>
  <si>
    <t>LM-84</t>
  </si>
  <si>
    <t xml:space="preserve">LM-78 </t>
  </si>
  <si>
    <t>Storia e Filosofia (interclasse)</t>
  </si>
  <si>
    <t>Pubblic and cultural Diplomacy - Diplomazia pubblica e culturale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</si>
  <si>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</si>
  <si>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</si>
  <si>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>Fonte: AlmaLaurea</t>
  </si>
  <si>
    <t>Mai o quasi mai</t>
  </si>
  <si>
    <t>Genetic Counsellors</t>
  </si>
  <si>
    <t>International Accounting and Management</t>
  </si>
  <si>
    <t>Biotechnologies of Human Reproduction</t>
  </si>
  <si>
    <t xml:space="preserve">Engineering management </t>
  </si>
  <si>
    <t>Ritengono che il carico di studio degli insegnamenti adeguato alla durata del CdS (%)</t>
  </si>
  <si>
    <t>Servizi giuridici</t>
  </si>
  <si>
    <t>Numero laureate/i</t>
  </si>
  <si>
    <t>% laureate/i in corso</t>
  </si>
  <si>
    <t>Laureande/i 2021</t>
  </si>
  <si>
    <t>Laureande/i 2020</t>
  </si>
  <si>
    <t>Laureande/i 2019</t>
  </si>
  <si>
    <t>L-25</t>
  </si>
  <si>
    <t>Tecniche di Radiologia medica, per Immagini e Radioterapia (Abilitante alla Professione sanitaria di Tecnico di Radiologia medica)</t>
  </si>
  <si>
    <t>Allegato statistico rilevazione opinione laureande e laureandi</t>
  </si>
  <si>
    <t>Relazione annuale 2024 dei Nuclei di Valutazione interna (D. Lgs. 19/2012, art. 12 e art. 14)</t>
  </si>
  <si>
    <t xml:space="preserve">Tabella 1: Profilo laureate/i anno solare 2022 per tipologia di laurea </t>
  </si>
  <si>
    <t>Tabella 2: Andamento laureate/i anno solare 2022 per tipologia di laurea</t>
  </si>
  <si>
    <t>Tab 3: Tasso di risposta al questionario Profilo Laureati 2022 AlmaLaurea e percentuali di giudizi positivi (decisamente sì + più sì che no) ad alcuni quesiti confrontati con valore nazionale per tipologia di CdS</t>
  </si>
  <si>
    <t>Tabella 5: Adesione a programmi di mobilità internazionale laureande/i quariennio 2019 - 2022 per tipologia di laurea</t>
  </si>
  <si>
    <t>Laureande/i 2022</t>
  </si>
  <si>
    <t>Numero laureati 2022</t>
  </si>
  <si>
    <t>Tutti i tipi di CdS</t>
  </si>
  <si>
    <t>Valutazione degli spazi dedicati allo studio individuale
(per 100 fruitori)</t>
  </si>
  <si>
    <t>Adeguati</t>
  </si>
  <si>
    <t>Inadeguati</t>
  </si>
  <si>
    <t>68,,2</t>
  </si>
  <si>
    <t>Sono soddisfatti dei servizi delle segreterie studenti
(per 100 fruitori)</t>
  </si>
  <si>
    <t>Tabella 6: Percentuali di giudizi positivi (decisamente sì + più sì che no) ad alcuni quesiti laureande/i triennio 2020-2022 per Dipartimento</t>
  </si>
  <si>
    <t>Fisica e Tecnologie avanzate*</t>
  </si>
  <si>
    <t>*</t>
  </si>
  <si>
    <t>Scienze geologiche*</t>
  </si>
  <si>
    <t>LM-8</t>
  </si>
  <si>
    <t>Sustainable industrial pharmaceutical Biotechnology</t>
  </si>
  <si>
    <t>Electronics And communications Engineering - Ingegneria elettronica e delle Telecomunicazioni*</t>
  </si>
  <si>
    <t>Economics</t>
  </si>
  <si>
    <t>Economia per l'Ambiente e la Sostenibilità</t>
  </si>
  <si>
    <t xml:space="preserve">Artificial Intelligence and automation Engineering </t>
  </si>
  <si>
    <t>Scienze e Tecnologie geologiche*</t>
  </si>
  <si>
    <t>LM-87</t>
  </si>
  <si>
    <t>Sostenibilità sociale e Management del welfare*</t>
  </si>
  <si>
    <t>* I dati non vengono visualizzati per collettivi con meno di 5 laureati. Il CdS in Sostenibilità sociale e Management del welfare è una nuova istituzione dell'offerta formativa a.a. 2020/20210 e questo spiega la presenza di 2 soli laureati.</t>
  </si>
  <si>
    <t>*** Dall'a.a. 2023/2024 il CdS assume la nuova denominazione "Metodi statistici e Data Analytics"</t>
  </si>
  <si>
    <t>Agribusiness*</t>
  </si>
  <si>
    <t>Scienze statistiche per le Indagini campionarie***</t>
  </si>
  <si>
    <t>** Dall'a.a. 2021/2022 il CdS è stato istituito nella (Classe L-P02)</t>
  </si>
  <si>
    <t>80,,4</t>
  </si>
  <si>
    <t>Tabella 10: Valutazione dell'organizzazione degli esami per Dipartimento laureande/i Unisi quadriennio 2019-2022</t>
  </si>
  <si>
    <t xml:space="preserve">Tabella 7: Tasso di risposta al questionario Profilo Laureati AlmaLaurea laureande/i 2022 e percentuali di giudizi positivi (decisamente sì + più sì che no) ad alcuni quesiti per Corso di Studio, confrontati con il valore nazionale della classe </t>
  </si>
  <si>
    <t>Numero laureate/i 2022</t>
  </si>
  <si>
    <t>Tabella 8: Valutazione delle strutture dell'Ateneo e confronto con valore nazionale laureande/i quadriennio 2019-2022</t>
  </si>
  <si>
    <t>Tabella 9: Valutazione delle strutture dell'Ateneo per Dipartimento laureande/i 2022</t>
  </si>
  <si>
    <t>Chimica e Tecnologia farmaceutiche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</si>
</sst>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3" borderId="0" applyNumberFormat="0" applyBorder="0" applyAlignment="0" applyProtection="0"/>
  </cellStyleXfs>
  <cellXfs count="317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right"/>
    </xf>
    <xf numFmtId="0" fontId="4" fillId="0" borderId="2" xfId="0" applyFont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10" xfId="0" applyNumberFormat="1" applyFont="1" applyFill="1" applyBorder="1" applyAlignme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 wrapText="1"/>
    </xf>
    <xf numFmtId="3" fontId="12" fillId="3" borderId="0" xfId="2" applyNumberFormat="1" applyBorder="1" applyAlignment="1">
      <alignment vertical="center"/>
    </xf>
    <xf numFmtId="3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0" xfId="2" applyNumberFormat="1" applyAlignment="1">
      <alignment vertical="center"/>
    </xf>
    <xf numFmtId="164" fontId="12" fillId="3" borderId="12" xfId="2" applyNumberFormat="1" applyBorder="1" applyAlignment="1">
      <alignment vertical="center"/>
    </xf>
    <xf numFmtId="164" fontId="12" fillId="3" borderId="0" xfId="2" applyNumberFormat="1" applyBorder="1" applyAlignment="1">
      <alignment horizontal="right" vertical="center"/>
    </xf>
    <xf numFmtId="164" fontId="12" fillId="3" borderId="7" xfId="2" applyNumberFormat="1" applyBorder="1" applyAlignment="1">
      <alignment horizontal="right" vertical="center"/>
    </xf>
    <xf numFmtId="164" fontId="12" fillId="3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164" fontId="12" fillId="3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/>
    </xf>
    <xf numFmtId="3" fontId="12" fillId="3" borderId="0" xfId="2" applyNumberFormat="1" applyBorder="1" applyAlignment="1">
      <alignment horizontal="right" vertical="center"/>
    </xf>
    <xf numFmtId="164" fontId="12" fillId="3" borderId="6" xfId="2" applyNumberForma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12" fillId="3" borderId="5" xfId="2" applyNumberFormat="1" applyBorder="1" applyAlignment="1">
      <alignment horizontal="right" vertical="center"/>
    </xf>
    <xf numFmtId="0" fontId="12" fillId="3" borderId="0" xfId="2" applyBorder="1" applyAlignment="1">
      <alignment vertical="center"/>
    </xf>
    <xf numFmtId="0" fontId="12" fillId="3" borderId="0" xfId="2" applyAlignment="1">
      <alignment vertical="center"/>
    </xf>
    <xf numFmtId="0" fontId="12" fillId="3" borderId="7" xfId="2" applyBorder="1" applyAlignment="1">
      <alignment vertical="center"/>
    </xf>
    <xf numFmtId="164" fontId="12" fillId="3" borderId="6" xfId="2" applyNumberFormat="1" applyBorder="1" applyAlignment="1">
      <alignment vertical="center"/>
    </xf>
    <xf numFmtId="0" fontId="12" fillId="3" borderId="15" xfId="2" applyBorder="1" applyAlignment="1">
      <alignment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0" fillId="0" borderId="9" xfId="0" applyBorder="1"/>
    <xf numFmtId="0" fontId="0" fillId="0" borderId="5" xfId="0" applyBorder="1"/>
    <xf numFmtId="0" fontId="0" fillId="0" borderId="15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3" fontId="4" fillId="3" borderId="10" xfId="2" applyNumberFormat="1" applyFont="1" applyBorder="1" applyAlignment="1">
      <alignment horizontal="right"/>
    </xf>
    <xf numFmtId="165" fontId="4" fillId="3" borderId="10" xfId="2" applyNumberFormat="1" applyFont="1" applyBorder="1" applyAlignment="1">
      <alignment horizontal="right"/>
    </xf>
    <xf numFmtId="164" fontId="4" fillId="3" borderId="10" xfId="2" applyNumberFormat="1" applyFont="1" applyBorder="1" applyAlignment="1">
      <alignment horizontal="right"/>
    </xf>
    <xf numFmtId="164" fontId="4" fillId="3" borderId="9" xfId="2" applyNumberFormat="1" applyFont="1" applyBorder="1" applyAlignment="1">
      <alignment horizontal="right"/>
    </xf>
    <xf numFmtId="164" fontId="4" fillId="3" borderId="9" xfId="2" applyNumberFormat="1" applyFont="1" applyBorder="1" applyAlignment="1"/>
    <xf numFmtId="164" fontId="12" fillId="0" borderId="0" xfId="2" applyNumberFormat="1" applyFill="1" applyBorder="1" applyAlignment="1">
      <alignment horizontal="right"/>
    </xf>
    <xf numFmtId="0" fontId="0" fillId="0" borderId="13" xfId="0" applyBorder="1"/>
    <xf numFmtId="164" fontId="0" fillId="0" borderId="13" xfId="0" applyNumberFormat="1" applyBorder="1"/>
    <xf numFmtId="3" fontId="0" fillId="0" borderId="0" xfId="0" applyNumberFormat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3" fontId="12" fillId="3" borderId="7" xfId="2" applyNumberFormat="1" applyBorder="1" applyAlignment="1">
      <alignment vertical="center"/>
    </xf>
    <xf numFmtId="3" fontId="12" fillId="3" borderId="15" xfId="2" applyNumberFormat="1" applyBorder="1" applyAlignment="1">
      <alignment vertical="center"/>
    </xf>
    <xf numFmtId="164" fontId="4" fillId="3" borderId="10" xfId="2" applyNumberFormat="1" applyFont="1" applyBorder="1" applyAlignment="1"/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Fill="1"/>
    <xf numFmtId="0" fontId="0" fillId="0" borderId="11" xfId="0" applyFill="1" applyBorder="1"/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/>
    </xf>
    <xf numFmtId="164" fontId="0" fillId="0" borderId="5" xfId="0" applyNumberFormat="1" applyFill="1" applyBorder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vertical="center" wrapText="1"/>
    </xf>
    <xf numFmtId="164" fontId="4" fillId="3" borderId="0" xfId="2" applyNumberFormat="1" applyFont="1" applyAlignment="1">
      <alignment vertical="center"/>
    </xf>
    <xf numFmtId="164" fontId="4" fillId="3" borderId="12" xfId="2" applyNumberFormat="1" applyFont="1" applyBorder="1" applyAlignment="1">
      <alignment vertical="center"/>
    </xf>
    <xf numFmtId="164" fontId="4" fillId="3" borderId="15" xfId="2" applyNumberFormat="1" applyFont="1" applyBorder="1" applyAlignment="1">
      <alignment vertical="center"/>
    </xf>
    <xf numFmtId="164" fontId="4" fillId="3" borderId="10" xfId="2" applyNumberFormat="1" applyFont="1" applyBorder="1" applyAlignment="1">
      <alignment vertical="center"/>
    </xf>
    <xf numFmtId="164" fontId="4" fillId="3" borderId="9" xfId="2" applyNumberFormat="1" applyFont="1" applyBorder="1" applyAlignment="1">
      <alignment vertical="center"/>
    </xf>
    <xf numFmtId="164" fontId="12" fillId="3" borderId="5" xfId="2" applyNumberFormat="1" applyBorder="1" applyAlignment="1">
      <alignment vertical="center"/>
    </xf>
    <xf numFmtId="164" fontId="0" fillId="3" borderId="15" xfId="2" applyNumberFormat="1" applyFont="1" applyBorder="1" applyAlignment="1">
      <alignment horizontal="right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0" fillId="0" borderId="1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3" fontId="12" fillId="3" borderId="0" xfId="2" applyNumberFormat="1" applyBorder="1" applyAlignment="1">
      <alignment vertical="center"/>
    </xf>
    <xf numFmtId="164" fontId="12" fillId="3" borderId="0" xfId="2" applyNumberFormat="1" applyBorder="1" applyAlignment="1">
      <alignment vertical="center"/>
    </xf>
    <xf numFmtId="164" fontId="12" fillId="3" borderId="7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12" fillId="3" borderId="7" xfId="2" applyNumberFormat="1" applyBorder="1" applyAlignment="1">
      <alignment vertical="center"/>
    </xf>
    <xf numFmtId="0" fontId="0" fillId="0" borderId="11" xfId="0" applyFill="1" applyBorder="1" applyAlignment="1">
      <alignment horizontal="right" vertical="center"/>
    </xf>
    <xf numFmtId="0" fontId="0" fillId="4" borderId="0" xfId="0" applyFill="1"/>
    <xf numFmtId="0" fontId="17" fillId="4" borderId="0" xfId="0" applyFont="1" applyFill="1"/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0" fillId="0" borderId="12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0" fillId="0" borderId="7" xfId="0" applyNumberFormat="1" applyBorder="1"/>
    <xf numFmtId="164" fontId="0" fillId="0" borderId="0" xfId="0" applyNumberFormat="1" applyFill="1" applyBorder="1"/>
    <xf numFmtId="164" fontId="0" fillId="3" borderId="7" xfId="2" applyNumberFormat="1" applyFont="1" applyBorder="1" applyAlignment="1">
      <alignment horizontal="right" vertical="center"/>
    </xf>
    <xf numFmtId="0" fontId="0" fillId="0" borderId="6" xfId="0" applyFill="1" applyBorder="1"/>
    <xf numFmtId="0" fontId="0" fillId="0" borderId="7" xfId="0" applyFill="1" applyBorder="1"/>
    <xf numFmtId="0" fontId="0" fillId="0" borderId="0" xfId="0" applyFill="1" applyBorder="1"/>
    <xf numFmtId="164" fontId="0" fillId="0" borderId="6" xfId="0" applyNumberFormat="1" applyFill="1" applyBorder="1" applyAlignment="1">
      <alignment vertical="center"/>
    </xf>
    <xf numFmtId="164" fontId="4" fillId="3" borderId="8" xfId="2" applyNumberFormat="1" applyFont="1" applyBorder="1" applyAlignment="1"/>
    <xf numFmtId="164" fontId="12" fillId="3" borderId="8" xfId="2" applyNumberFormat="1" applyFont="1" applyBorder="1" applyAlignment="1"/>
    <xf numFmtId="164" fontId="12" fillId="3" borderId="9" xfId="2" applyNumberFormat="1" applyFont="1" applyBorder="1" applyAlignment="1"/>
    <xf numFmtId="164" fontId="12" fillId="3" borderId="10" xfId="2" applyNumberFormat="1" applyFont="1" applyBorder="1" applyAlignment="1"/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 wrapText="1"/>
    </xf>
    <xf numFmtId="164" fontId="0" fillId="3" borderId="0" xfId="2" applyNumberFormat="1" applyFont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/>
    <xf numFmtId="164" fontId="0" fillId="3" borderId="7" xfId="2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164" fontId="0" fillId="0" borderId="7" xfId="0" applyNumberFormat="1" applyFill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164" fontId="4" fillId="0" borderId="8" xfId="0" applyNumberFormat="1" applyFont="1" applyBorder="1"/>
    <xf numFmtId="164" fontId="4" fillId="0" borderId="6" xfId="0" applyNumberFormat="1" applyFont="1" applyBorder="1"/>
    <xf numFmtId="0" fontId="4" fillId="0" borderId="7" xfId="0" applyFont="1" applyBorder="1"/>
    <xf numFmtId="164" fontId="0" fillId="0" borderId="15" xfId="0" applyNumberFormat="1" applyFill="1" applyBorder="1" applyAlignment="1">
      <alignment vertical="center"/>
    </xf>
    <xf numFmtId="164" fontId="4" fillId="0" borderId="13" xfId="0" applyNumberFormat="1" applyFont="1" applyBorder="1"/>
    <xf numFmtId="0" fontId="4" fillId="0" borderId="6" xfId="0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3" borderId="1" xfId="2" applyNumberFormat="1" applyFont="1" applyBorder="1" applyAlignment="1"/>
    <xf numFmtId="0" fontId="4" fillId="0" borderId="2" xfId="0" applyFont="1" applyFill="1" applyBorder="1"/>
    <xf numFmtId="0" fontId="11" fillId="0" borderId="4" xfId="0" applyFont="1" applyFill="1" applyBorder="1" applyAlignment="1">
      <alignment vertical="center" wrapText="1"/>
    </xf>
    <xf numFmtId="0" fontId="4" fillId="0" borderId="11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4" fillId="0" borderId="0" xfId="0" applyFont="1" applyBorder="1"/>
    <xf numFmtId="164" fontId="4" fillId="0" borderId="0" xfId="0" applyNumberFormat="1" applyFont="1" applyBorder="1"/>
    <xf numFmtId="0" fontId="0" fillId="0" borderId="5" xfId="0" applyFill="1" applyBorder="1" applyAlignment="1">
      <alignment horizontal="right" vertical="center"/>
    </xf>
    <xf numFmtId="3" fontId="12" fillId="3" borderId="5" xfId="2" applyNumberFormat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 wrapText="1"/>
    </xf>
    <xf numFmtId="0" fontId="1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</cellXfs>
  <cellStyles count="3">
    <cellStyle name="20% - Colore 1" xfId="2" builtinId="30"/>
    <cellStyle name="Normale" xfId="0" builtinId="0"/>
    <cellStyle name="Normale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9</xdr:col>
      <xdr:colOff>400050</xdr:colOff>
      <xdr:row>6</xdr:row>
      <xdr:rowOff>79248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0"/>
          <a:ext cx="3048000" cy="122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abSelected="1" zoomScaleNormal="100" workbookViewId="0">
      <selection activeCell="K41" sqref="K41"/>
    </sheetView>
  </sheetViews>
  <sheetFormatPr defaultRowHeight="15" x14ac:dyDescent="0.25"/>
  <sheetData>
    <row r="1" spans="1:14" x14ac:dyDescent="0.25">
      <c r="A1" s="184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</row>
    <row r="3" spans="1:14" x14ac:dyDescent="0.25">
      <c r="A3" s="184"/>
      <c r="B3" s="185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</row>
    <row r="5" spans="1:14" x14ac:dyDescent="0.25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</row>
    <row r="7" spans="1:14" ht="21" x14ac:dyDescent="0.25">
      <c r="A7" s="186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1:14" ht="21" x14ac:dyDescent="0.25">
      <c r="A8" s="186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</row>
    <row r="9" spans="1:14" ht="15.75" x14ac:dyDescent="0.25">
      <c r="A9" s="187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</row>
    <row r="10" spans="1:14" ht="23.25" x14ac:dyDescent="0.25">
      <c r="A10" s="184"/>
      <c r="B10" s="241" t="s">
        <v>184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184"/>
    </row>
    <row r="11" spans="1:14" ht="21" x14ac:dyDescent="0.25">
      <c r="A11" s="184"/>
      <c r="B11" s="184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4"/>
      <c r="N11" s="184"/>
    </row>
    <row r="12" spans="1:14" ht="18.75" x14ac:dyDescent="0.25">
      <c r="A12" s="184"/>
      <c r="B12" s="242" t="s">
        <v>185</v>
      </c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184"/>
    </row>
    <row r="13" spans="1:14" ht="15.75" x14ac:dyDescent="0.25">
      <c r="A13" s="184"/>
      <c r="B13" s="184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4"/>
      <c r="N13" s="184"/>
    </row>
    <row r="14" spans="1:14" ht="15.75" x14ac:dyDescent="0.25">
      <c r="A14" s="184"/>
      <c r="B14" s="184"/>
      <c r="C14" s="243" t="s">
        <v>44</v>
      </c>
      <c r="D14" s="243"/>
      <c r="E14" s="243"/>
      <c r="F14" s="243"/>
      <c r="G14" s="243"/>
      <c r="H14" s="243"/>
      <c r="I14" s="243"/>
      <c r="J14" s="243"/>
      <c r="K14" s="243"/>
      <c r="L14" s="243"/>
      <c r="M14" s="184"/>
      <c r="N14" s="184"/>
    </row>
    <row r="15" spans="1:14" x14ac:dyDescent="0.25">
      <c r="A15" s="184"/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</row>
    <row r="16" spans="1:14" x14ac:dyDescent="0.25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</row>
    <row r="17" spans="1:14" x14ac:dyDescent="0.25">
      <c r="A17" s="188"/>
      <c r="B17" s="188"/>
      <c r="C17" s="188"/>
      <c r="D17" s="188"/>
      <c r="E17" s="188"/>
      <c r="F17" s="184"/>
      <c r="G17" s="184"/>
      <c r="H17" s="184"/>
      <c r="I17" s="184"/>
      <c r="J17" s="184"/>
      <c r="K17" s="184"/>
      <c r="L17" s="184"/>
      <c r="M17" s="184"/>
      <c r="N17" s="184"/>
    </row>
    <row r="18" spans="1:14" x14ac:dyDescent="0.25">
      <c r="A18" s="188"/>
      <c r="B18" s="188"/>
      <c r="C18" s="188"/>
      <c r="D18" s="188"/>
      <c r="E18" s="188"/>
      <c r="F18" s="184"/>
      <c r="G18" s="184"/>
      <c r="H18" s="184"/>
      <c r="I18" s="184"/>
      <c r="J18" s="184"/>
      <c r="K18" s="184"/>
      <c r="L18" s="184"/>
      <c r="M18" s="184"/>
      <c r="N18" s="184"/>
    </row>
    <row r="19" spans="1:14" x14ac:dyDescent="0.25">
      <c r="A19" s="188"/>
      <c r="B19" s="188"/>
      <c r="C19" s="188"/>
      <c r="D19" s="188"/>
      <c r="E19" s="188"/>
      <c r="F19" s="184"/>
      <c r="G19" s="184"/>
      <c r="H19" s="184"/>
      <c r="I19" s="184"/>
      <c r="J19" s="184"/>
      <c r="K19" s="184"/>
      <c r="L19" s="184"/>
      <c r="M19" s="184"/>
      <c r="N19" s="184"/>
    </row>
    <row r="20" spans="1:14" x14ac:dyDescent="0.25">
      <c r="A20" s="184"/>
      <c r="B20" s="184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</row>
    <row r="21" spans="1:14" x14ac:dyDescent="0.25">
      <c r="A21" s="184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</row>
    <row r="22" spans="1:14" x14ac:dyDescent="0.25">
      <c r="A22" s="184"/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</row>
    <row r="23" spans="1:14" x14ac:dyDescent="0.2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</row>
    <row r="24" spans="1:14" x14ac:dyDescent="0.2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</row>
    <row r="25" spans="1:14" x14ac:dyDescent="0.25">
      <c r="A25" s="184"/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</row>
    <row r="26" spans="1:14" x14ac:dyDescent="0.25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</row>
    <row r="27" spans="1:14" x14ac:dyDescent="0.2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</row>
    <row r="28" spans="1:14" x14ac:dyDescent="0.25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</row>
    <row r="29" spans="1:14" x14ac:dyDescent="0.25">
      <c r="A29" s="184"/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</row>
    <row r="30" spans="1:14" x14ac:dyDescent="0.25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4"/>
  <sheetViews>
    <sheetView zoomScaleNormal="100" workbookViewId="0">
      <selection sqref="A1:F1"/>
    </sheetView>
  </sheetViews>
  <sheetFormatPr defaultRowHeight="15" x14ac:dyDescent="0.25"/>
  <cols>
    <col min="1" max="1" width="16.7109375" customWidth="1"/>
    <col min="7" max="7" width="9.85546875" bestFit="1" customWidth="1"/>
    <col min="8" max="8" width="9.140625" customWidth="1"/>
    <col min="9" max="9" width="9.85546875" bestFit="1" customWidth="1"/>
    <col min="13" max="13" width="10.85546875" customWidth="1"/>
    <col min="19" max="19" width="10" customWidth="1"/>
    <col min="25" max="25" width="10.140625" customWidth="1"/>
  </cols>
  <sheetData>
    <row r="1" spans="1:14" x14ac:dyDescent="0.25">
      <c r="A1" s="253" t="s">
        <v>186</v>
      </c>
      <c r="B1" s="253"/>
      <c r="C1" s="253"/>
      <c r="D1" s="253"/>
      <c r="E1" s="253"/>
      <c r="F1" s="253"/>
    </row>
    <row r="2" spans="1:14" s="1" customFormat="1" ht="15" customHeight="1" x14ac:dyDescent="0.25">
      <c r="A2" s="266" t="s">
        <v>0</v>
      </c>
      <c r="B2" s="269" t="s">
        <v>177</v>
      </c>
      <c r="C2" s="269"/>
      <c r="D2" s="271" t="s">
        <v>1</v>
      </c>
      <c r="E2" s="272"/>
      <c r="F2" s="246" t="s">
        <v>5</v>
      </c>
      <c r="G2" s="247"/>
      <c r="H2" s="246" t="s">
        <v>2</v>
      </c>
      <c r="I2" s="247"/>
    </row>
    <row r="3" spans="1:14" s="1" customFormat="1" ht="15" customHeight="1" x14ac:dyDescent="0.25">
      <c r="A3" s="267"/>
      <c r="B3" s="270"/>
      <c r="C3" s="270"/>
      <c r="D3" s="273"/>
      <c r="E3" s="274"/>
      <c r="F3" s="260"/>
      <c r="G3" s="261"/>
      <c r="H3" s="260"/>
      <c r="I3" s="261"/>
    </row>
    <row r="4" spans="1:14" s="1" customFormat="1" x14ac:dyDescent="0.25">
      <c r="A4" s="268"/>
      <c r="B4" s="2" t="s">
        <v>3</v>
      </c>
      <c r="C4" s="4" t="s">
        <v>4</v>
      </c>
      <c r="D4" s="2" t="s">
        <v>3</v>
      </c>
      <c r="E4" s="3" t="s">
        <v>4</v>
      </c>
      <c r="F4" s="4" t="s">
        <v>3</v>
      </c>
      <c r="G4" s="4" t="s">
        <v>4</v>
      </c>
      <c r="H4" s="2" t="s">
        <v>3</v>
      </c>
      <c r="I4" s="3" t="s">
        <v>4</v>
      </c>
    </row>
    <row r="5" spans="1:14" s="1" customFormat="1" ht="30" x14ac:dyDescent="0.25">
      <c r="A5" s="25" t="s">
        <v>10</v>
      </c>
      <c r="B5" s="95">
        <v>1490</v>
      </c>
      <c r="C5" s="117">
        <v>155131</v>
      </c>
      <c r="D5" s="119">
        <v>64.400000000000006</v>
      </c>
      <c r="E5" s="118">
        <v>59.5</v>
      </c>
      <c r="F5" s="96">
        <v>35</v>
      </c>
      <c r="G5" s="122">
        <v>20.8</v>
      </c>
      <c r="H5" s="119">
        <v>5.5</v>
      </c>
      <c r="I5" s="118">
        <v>3.3</v>
      </c>
      <c r="L5" s="134"/>
      <c r="M5" s="154"/>
    </row>
    <row r="6" spans="1:14" s="1" customFormat="1" ht="45" x14ac:dyDescent="0.25">
      <c r="A6" s="25" t="s">
        <v>11</v>
      </c>
      <c r="B6" s="95">
        <v>919</v>
      </c>
      <c r="C6" s="117">
        <v>94090</v>
      </c>
      <c r="D6" s="120">
        <v>61</v>
      </c>
      <c r="E6" s="105">
        <v>57.3</v>
      </c>
      <c r="F6" s="97">
        <v>48.3</v>
      </c>
      <c r="G6" s="104">
        <v>30.5</v>
      </c>
      <c r="H6" s="120">
        <v>14.3</v>
      </c>
      <c r="I6" s="105">
        <v>6.8</v>
      </c>
    </row>
    <row r="7" spans="1:14" s="1" customFormat="1" ht="45" x14ac:dyDescent="0.25">
      <c r="A7" s="25" t="s">
        <v>12</v>
      </c>
      <c r="B7" s="95">
        <v>386</v>
      </c>
      <c r="C7" s="117">
        <v>31874</v>
      </c>
      <c r="D7" s="120">
        <v>64.8</v>
      </c>
      <c r="E7" s="193" t="s">
        <v>196</v>
      </c>
      <c r="F7" s="97">
        <v>60.1</v>
      </c>
      <c r="G7" s="104">
        <v>23.3</v>
      </c>
      <c r="H7" s="120">
        <v>3.1</v>
      </c>
      <c r="I7" s="105">
        <v>2.4</v>
      </c>
      <c r="K7" s="134"/>
    </row>
    <row r="8" spans="1:14" s="1" customFormat="1" x14ac:dyDescent="0.25">
      <c r="A8" s="5" t="s">
        <v>192</v>
      </c>
      <c r="B8" s="6">
        <v>2795</v>
      </c>
      <c r="C8" s="139">
        <v>281095</v>
      </c>
      <c r="D8" s="20">
        <v>63.3</v>
      </c>
      <c r="E8" s="140">
        <v>59.7</v>
      </c>
      <c r="F8" s="20">
        <v>42.8</v>
      </c>
      <c r="G8" s="140">
        <v>24.3</v>
      </c>
      <c r="H8" s="20">
        <v>8.1</v>
      </c>
      <c r="I8" s="140">
        <v>4.3</v>
      </c>
      <c r="J8" s="18"/>
      <c r="L8" s="134"/>
    </row>
    <row r="9" spans="1:14" s="1" customFormat="1" x14ac:dyDescent="0.25">
      <c r="A9" s="250" t="s">
        <v>169</v>
      </c>
      <c r="B9" s="250"/>
      <c r="C9" s="250"/>
      <c r="D9" s="250"/>
      <c r="E9" s="250"/>
      <c r="F9" s="250"/>
      <c r="G9" s="14"/>
      <c r="H9" s="14"/>
      <c r="I9" s="14"/>
    </row>
    <row r="10" spans="1:14" s="1" customFormat="1" x14ac:dyDescent="0.25">
      <c r="A10" s="153"/>
      <c r="B10" s="153"/>
      <c r="C10" s="153"/>
      <c r="D10" s="153"/>
      <c r="E10" s="153"/>
      <c r="F10" s="153"/>
      <c r="G10" s="14"/>
      <c r="H10" s="14"/>
      <c r="I10" s="14"/>
    </row>
    <row r="11" spans="1:14" x14ac:dyDescent="0.25">
      <c r="A11" s="253" t="s">
        <v>187</v>
      </c>
      <c r="B11" s="253"/>
      <c r="C11" s="253"/>
      <c r="D11" s="253"/>
      <c r="E11" s="253"/>
      <c r="F11" s="253"/>
      <c r="G11" s="253"/>
      <c r="N11" s="147"/>
    </row>
    <row r="12" spans="1:14" ht="34.5" customHeight="1" x14ac:dyDescent="0.25">
      <c r="A12" s="264" t="s">
        <v>0</v>
      </c>
      <c r="B12" s="248" t="s">
        <v>7</v>
      </c>
      <c r="C12" s="248"/>
      <c r="D12" s="246" t="s">
        <v>8</v>
      </c>
      <c r="E12" s="247"/>
      <c r="F12" s="248" t="s">
        <v>178</v>
      </c>
      <c r="G12" s="247"/>
      <c r="L12" s="144"/>
    </row>
    <row r="13" spans="1:14" x14ac:dyDescent="0.25">
      <c r="A13" s="265"/>
      <c r="B13" s="2" t="s">
        <v>3</v>
      </c>
      <c r="C13" s="4" t="s">
        <v>4</v>
      </c>
      <c r="D13" s="2" t="s">
        <v>3</v>
      </c>
      <c r="E13" s="3" t="s">
        <v>4</v>
      </c>
      <c r="F13" s="4" t="s">
        <v>3</v>
      </c>
      <c r="G13" s="3" t="s">
        <v>4</v>
      </c>
    </row>
    <row r="14" spans="1:14" ht="30" x14ac:dyDescent="0.25">
      <c r="A14" s="25" t="s">
        <v>10</v>
      </c>
      <c r="B14" s="120">
        <v>25.5</v>
      </c>
      <c r="C14" s="104">
        <v>24.4</v>
      </c>
      <c r="D14" s="120">
        <v>101.6</v>
      </c>
      <c r="E14" s="105">
        <v>101.1</v>
      </c>
      <c r="F14" s="97">
        <v>62.1</v>
      </c>
      <c r="G14" s="105">
        <v>62.4</v>
      </c>
    </row>
    <row r="15" spans="1:14" ht="45" x14ac:dyDescent="0.25">
      <c r="A15" s="25" t="s">
        <v>11</v>
      </c>
      <c r="B15" s="120">
        <v>28.1</v>
      </c>
      <c r="C15" s="104">
        <v>27.2</v>
      </c>
      <c r="D15" s="120">
        <v>107.3</v>
      </c>
      <c r="E15" s="105">
        <v>108.1</v>
      </c>
      <c r="F15" s="97">
        <v>57.1</v>
      </c>
      <c r="G15" s="105">
        <v>66.400000000000006</v>
      </c>
    </row>
    <row r="16" spans="1:14" ht="45" x14ac:dyDescent="0.25">
      <c r="A16" s="25" t="s">
        <v>12</v>
      </c>
      <c r="B16" s="120">
        <v>27.2</v>
      </c>
      <c r="C16" s="104">
        <v>27</v>
      </c>
      <c r="D16" s="120">
        <v>106.2</v>
      </c>
      <c r="E16" s="105">
        <v>106</v>
      </c>
      <c r="F16" s="97">
        <v>42.2</v>
      </c>
      <c r="G16" s="105">
        <v>51.7</v>
      </c>
    </row>
    <row r="17" spans="1:16" x14ac:dyDescent="0.25">
      <c r="A17" s="5" t="s">
        <v>6</v>
      </c>
      <c r="B17" s="10">
        <v>26.6</v>
      </c>
      <c r="C17" s="141">
        <v>25.6</v>
      </c>
      <c r="D17" s="20">
        <v>104.1</v>
      </c>
      <c r="E17" s="142">
        <v>104</v>
      </c>
      <c r="F17" s="10">
        <v>57.7</v>
      </c>
      <c r="G17" s="142">
        <v>62.5</v>
      </c>
    </row>
    <row r="18" spans="1:16" ht="15" customHeight="1" x14ac:dyDescent="0.25">
      <c r="A18" s="250" t="s">
        <v>169</v>
      </c>
      <c r="B18" s="250"/>
      <c r="C18" s="250"/>
      <c r="D18" s="250"/>
      <c r="E18" s="250"/>
      <c r="F18" s="250"/>
    </row>
    <row r="20" spans="1:16" ht="30" customHeight="1" x14ac:dyDescent="0.25">
      <c r="A20" s="275" t="s">
        <v>188</v>
      </c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1"/>
      <c r="M20" s="1"/>
    </row>
    <row r="21" spans="1:16" ht="90.75" customHeight="1" x14ac:dyDescent="0.25">
      <c r="A21" s="262" t="s">
        <v>9</v>
      </c>
      <c r="B21" s="244" t="s">
        <v>191</v>
      </c>
      <c r="C21" s="245"/>
      <c r="D21" s="246" t="s">
        <v>13</v>
      </c>
      <c r="E21" s="247"/>
      <c r="F21" s="248" t="s">
        <v>14</v>
      </c>
      <c r="G21" s="248"/>
      <c r="H21" s="246" t="s">
        <v>15</v>
      </c>
      <c r="I21" s="247"/>
      <c r="J21" s="284" t="s">
        <v>175</v>
      </c>
      <c r="K21" s="284"/>
      <c r="L21" s="282"/>
      <c r="M21" s="283"/>
    </row>
    <row r="22" spans="1:16" x14ac:dyDescent="0.25">
      <c r="A22" s="263"/>
      <c r="B22" s="2" t="s">
        <v>3</v>
      </c>
      <c r="C22" s="4" t="s">
        <v>4</v>
      </c>
      <c r="D22" s="2" t="s">
        <v>3</v>
      </c>
      <c r="E22" s="3" t="s">
        <v>4</v>
      </c>
      <c r="F22" s="4" t="s">
        <v>3</v>
      </c>
      <c r="G22" s="4" t="s">
        <v>4</v>
      </c>
      <c r="H22" s="2" t="s">
        <v>3</v>
      </c>
      <c r="I22" s="3" t="s">
        <v>4</v>
      </c>
      <c r="J22" s="4" t="s">
        <v>3</v>
      </c>
      <c r="K22" s="4" t="s">
        <v>4</v>
      </c>
      <c r="L22" s="51"/>
      <c r="M22" s="50"/>
    </row>
    <row r="23" spans="1:16" ht="30" x14ac:dyDescent="0.25">
      <c r="A23" s="25" t="s">
        <v>10</v>
      </c>
      <c r="B23" s="95">
        <v>1490</v>
      </c>
      <c r="C23" s="117">
        <v>155131</v>
      </c>
      <c r="D23" s="121">
        <v>96.2</v>
      </c>
      <c r="E23" s="105">
        <v>94.3</v>
      </c>
      <c r="F23" s="121">
        <f>51+43.1</f>
        <v>94.1</v>
      </c>
      <c r="G23" s="123">
        <f>41.4+49.5</f>
        <v>90.9</v>
      </c>
      <c r="H23" s="121">
        <f>31+60.7</f>
        <v>91.7</v>
      </c>
      <c r="I23" s="125">
        <f>24.9+64.1</f>
        <v>89</v>
      </c>
      <c r="J23" s="121">
        <f>45.8+40.7</f>
        <v>86.5</v>
      </c>
      <c r="K23" s="126">
        <f>40.5+43.6</f>
        <v>84.1</v>
      </c>
      <c r="L23" s="1"/>
      <c r="M23" s="1"/>
    </row>
    <row r="24" spans="1:16" ht="45" x14ac:dyDescent="0.25">
      <c r="A24" s="8" t="s">
        <v>11</v>
      </c>
      <c r="B24" s="95">
        <v>919</v>
      </c>
      <c r="C24" s="117">
        <v>94090</v>
      </c>
      <c r="D24" s="121">
        <v>95.6</v>
      </c>
      <c r="E24" s="105">
        <v>92.8</v>
      </c>
      <c r="F24" s="121">
        <f>54.3+37.7</f>
        <v>92</v>
      </c>
      <c r="G24" s="124">
        <f>46.4+44</f>
        <v>90.4</v>
      </c>
      <c r="H24" s="121">
        <f>44.4+48.6</f>
        <v>93</v>
      </c>
      <c r="I24" s="125">
        <f>34.4+56.2</f>
        <v>90.6</v>
      </c>
      <c r="J24" s="121">
        <f>58.5+33.9</f>
        <v>92.4</v>
      </c>
      <c r="K24" s="125">
        <f>47.5+39.2</f>
        <v>86.7</v>
      </c>
      <c r="L24" s="1"/>
      <c r="M24" s="1"/>
    </row>
    <row r="25" spans="1:16" ht="45" x14ac:dyDescent="0.25">
      <c r="A25" s="8" t="s">
        <v>12</v>
      </c>
      <c r="B25" s="95">
        <v>386</v>
      </c>
      <c r="C25" s="117">
        <v>31874</v>
      </c>
      <c r="D25" s="121">
        <v>97.2</v>
      </c>
      <c r="E25" s="105">
        <v>93.5</v>
      </c>
      <c r="F25" s="121">
        <f>33.9+52.5</f>
        <v>86.4</v>
      </c>
      <c r="G25" s="123">
        <f>39+49.6</f>
        <v>88.6</v>
      </c>
      <c r="H25" s="121">
        <f>17.9+57.9</f>
        <v>75.8</v>
      </c>
      <c r="I25" s="125">
        <f>22.7+59.4</f>
        <v>82.1</v>
      </c>
      <c r="J25" s="121">
        <f>26.4+36.3</f>
        <v>62.699999999999996</v>
      </c>
      <c r="K25" s="127">
        <f>31.4+40.9</f>
        <v>72.3</v>
      </c>
      <c r="L25" s="1"/>
      <c r="M25" s="1"/>
    </row>
    <row r="26" spans="1:16" x14ac:dyDescent="0.25">
      <c r="A26" s="5" t="s">
        <v>192</v>
      </c>
      <c r="B26" s="6">
        <v>2795</v>
      </c>
      <c r="C26" s="139">
        <v>281095</v>
      </c>
      <c r="D26" s="47">
        <v>96.1</v>
      </c>
      <c r="E26" s="143">
        <v>93.7</v>
      </c>
      <c r="F26" s="27">
        <f>49.7+42.6</f>
        <v>92.300000000000011</v>
      </c>
      <c r="G26" s="143">
        <f>42.8+47.7</f>
        <v>90.5</v>
      </c>
      <c r="H26" s="27">
        <f>33.5+56.3</f>
        <v>89.8</v>
      </c>
      <c r="I26" s="143">
        <f>27.8+61</f>
        <v>88.8</v>
      </c>
      <c r="J26" s="53">
        <f>47.3+37.8</f>
        <v>85.1</v>
      </c>
      <c r="K26" s="143">
        <f>41.8+41.8</f>
        <v>83.6</v>
      </c>
      <c r="L26" s="1"/>
      <c r="M26" s="1"/>
    </row>
    <row r="27" spans="1:16" ht="15" customHeight="1" x14ac:dyDescent="0.25">
      <c r="A27" s="250" t="s">
        <v>169</v>
      </c>
      <c r="B27" s="250"/>
      <c r="C27" s="250"/>
      <c r="D27" s="250"/>
      <c r="E27" s="250"/>
      <c r="F27" s="250"/>
      <c r="G27" s="40"/>
      <c r="H27" s="40"/>
      <c r="I27" s="40"/>
      <c r="J27" s="39"/>
      <c r="K27" s="39"/>
    </row>
    <row r="28" spans="1:16" ht="15" customHeight="1" x14ac:dyDescent="0.25">
      <c r="A28" s="44"/>
      <c r="B28" s="41"/>
      <c r="C28" s="41"/>
      <c r="D28" s="42"/>
      <c r="E28" s="42"/>
      <c r="F28" s="43"/>
      <c r="G28" s="39"/>
      <c r="H28" s="39"/>
      <c r="I28" s="39"/>
      <c r="J28" s="39"/>
      <c r="K28" s="39"/>
    </row>
    <row r="29" spans="1:16" ht="27" customHeight="1" x14ac:dyDescent="0.25">
      <c r="A29" s="255" t="s">
        <v>24</v>
      </c>
      <c r="B29" s="255"/>
      <c r="C29" s="255"/>
      <c r="D29" s="255"/>
      <c r="E29" s="255"/>
      <c r="F29" s="255"/>
      <c r="G29" s="255"/>
      <c r="H29" s="255"/>
      <c r="I29" s="255"/>
    </row>
    <row r="30" spans="1:16" ht="15" customHeight="1" x14ac:dyDescent="0.25">
      <c r="A30" s="256" t="s">
        <v>9</v>
      </c>
      <c r="B30" s="256" t="s">
        <v>18</v>
      </c>
      <c r="C30" s="256"/>
      <c r="D30" s="259" t="s">
        <v>3</v>
      </c>
      <c r="E30" s="257"/>
      <c r="F30" s="257"/>
      <c r="G30" s="135"/>
      <c r="H30" s="257" t="s">
        <v>4</v>
      </c>
      <c r="I30" s="257"/>
      <c r="J30" s="257"/>
      <c r="K30" s="258"/>
      <c r="L30" s="1"/>
      <c r="M30" s="1"/>
      <c r="N30" s="1"/>
    </row>
    <row r="31" spans="1:16" ht="29.25" customHeight="1" x14ac:dyDescent="0.25">
      <c r="A31" s="256"/>
      <c r="B31" s="256"/>
      <c r="C31" s="256"/>
      <c r="D31" s="4">
        <v>2022</v>
      </c>
      <c r="E31" s="4">
        <v>2021</v>
      </c>
      <c r="F31" s="4">
        <v>2020</v>
      </c>
      <c r="G31" s="3">
        <v>2019</v>
      </c>
      <c r="H31" s="4">
        <v>2022</v>
      </c>
      <c r="I31" s="4">
        <v>2021</v>
      </c>
      <c r="J31" s="4">
        <v>2020</v>
      </c>
      <c r="K31" s="4">
        <v>2019</v>
      </c>
      <c r="L31" s="18"/>
      <c r="M31" s="1"/>
      <c r="N31" s="1"/>
      <c r="O31" s="1"/>
      <c r="P31" s="1"/>
    </row>
    <row r="32" spans="1:16" ht="27.75" customHeight="1" x14ac:dyDescent="0.25">
      <c r="A32" s="254" t="s">
        <v>10</v>
      </c>
      <c r="B32" s="251" t="s">
        <v>19</v>
      </c>
      <c r="C32" s="251"/>
      <c r="D32" s="59">
        <v>74.7</v>
      </c>
      <c r="E32" s="59">
        <v>73.430000000000007</v>
      </c>
      <c r="F32" s="59">
        <v>75.319999999999993</v>
      </c>
      <c r="G32" s="59">
        <v>73.7</v>
      </c>
      <c r="H32" s="58">
        <v>71.5</v>
      </c>
      <c r="I32" s="59">
        <v>71.7</v>
      </c>
      <c r="J32" s="59">
        <v>71.7</v>
      </c>
      <c r="K32" s="60">
        <v>70.3</v>
      </c>
      <c r="L32" s="1"/>
    </row>
    <row r="33" spans="1:14" ht="27.75" customHeight="1" x14ac:dyDescent="0.25">
      <c r="A33" s="254"/>
      <c r="B33" s="251" t="s">
        <v>20</v>
      </c>
      <c r="C33" s="251"/>
      <c r="D33" s="56">
        <v>7.6</v>
      </c>
      <c r="E33" s="56">
        <v>7.33</v>
      </c>
      <c r="F33" s="56">
        <v>7.19</v>
      </c>
      <c r="G33" s="56">
        <v>8.8000000000000007</v>
      </c>
      <c r="H33" s="55">
        <v>10.199999999999999</v>
      </c>
      <c r="I33" s="56">
        <v>10.3</v>
      </c>
      <c r="J33" s="56">
        <v>10.4</v>
      </c>
      <c r="K33" s="57">
        <v>10.5</v>
      </c>
    </row>
    <row r="34" spans="1:14" ht="41.25" customHeight="1" x14ac:dyDescent="0.25">
      <c r="A34" s="254"/>
      <c r="B34" s="251" t="s">
        <v>21</v>
      </c>
      <c r="C34" s="251"/>
      <c r="D34" s="56">
        <v>10.5</v>
      </c>
      <c r="E34" s="56">
        <v>11.09</v>
      </c>
      <c r="F34" s="56">
        <v>9.86</v>
      </c>
      <c r="G34" s="56">
        <v>11</v>
      </c>
      <c r="H34" s="55">
        <v>10.5</v>
      </c>
      <c r="I34" s="56">
        <v>10.199999999999999</v>
      </c>
      <c r="J34" s="37">
        <v>10.199999999999999</v>
      </c>
      <c r="K34" s="57">
        <v>11.1</v>
      </c>
    </row>
    <row r="35" spans="1:14" ht="43.5" customHeight="1" x14ac:dyDescent="0.25">
      <c r="A35" s="254"/>
      <c r="B35" s="251" t="s">
        <v>22</v>
      </c>
      <c r="C35" s="251"/>
      <c r="D35" s="56">
        <v>5.4</v>
      </c>
      <c r="E35" s="56">
        <v>6.45</v>
      </c>
      <c r="F35" s="56">
        <v>6.12</v>
      </c>
      <c r="G35" s="56">
        <v>5.0999999999999996</v>
      </c>
      <c r="H35" s="55">
        <v>5.6</v>
      </c>
      <c r="I35" s="56">
        <v>5.8</v>
      </c>
      <c r="J35" s="37">
        <v>5.7</v>
      </c>
      <c r="K35" s="57">
        <v>5.9</v>
      </c>
    </row>
    <row r="36" spans="1:14" ht="45" customHeight="1" x14ac:dyDescent="0.25">
      <c r="A36" s="254"/>
      <c r="B36" s="251" t="s">
        <v>23</v>
      </c>
      <c r="C36" s="251"/>
      <c r="D36" s="61">
        <v>1</v>
      </c>
      <c r="E36" s="62">
        <v>1.32</v>
      </c>
      <c r="F36" s="62">
        <v>1.51</v>
      </c>
      <c r="G36" s="62">
        <v>1.1000000000000001</v>
      </c>
      <c r="H36" s="61">
        <v>1.7</v>
      </c>
      <c r="I36" s="62">
        <v>1.6</v>
      </c>
      <c r="J36" s="62">
        <v>1.7</v>
      </c>
      <c r="K36" s="63">
        <v>1.7</v>
      </c>
    </row>
    <row r="37" spans="1:14" ht="33" customHeight="1" x14ac:dyDescent="0.25">
      <c r="A37" s="254" t="s">
        <v>11</v>
      </c>
      <c r="B37" s="251" t="s">
        <v>19</v>
      </c>
      <c r="C37" s="251"/>
      <c r="D37" s="56">
        <v>78.2</v>
      </c>
      <c r="E37" s="56">
        <v>77.94</v>
      </c>
      <c r="F37" s="56">
        <v>74.16</v>
      </c>
      <c r="G37" s="60">
        <v>71.8</v>
      </c>
      <c r="H37" s="56">
        <v>75.400000000000006</v>
      </c>
      <c r="I37" s="56">
        <v>76.3</v>
      </c>
      <c r="J37" s="56">
        <v>76.099999999999994</v>
      </c>
      <c r="K37" s="60">
        <v>75.599999999999994</v>
      </c>
    </row>
    <row r="38" spans="1:14" ht="32.25" customHeight="1" x14ac:dyDescent="0.25">
      <c r="A38" s="254"/>
      <c r="B38" s="251" t="s">
        <v>20</v>
      </c>
      <c r="C38" s="251"/>
      <c r="D38" s="56">
        <v>5.8</v>
      </c>
      <c r="E38" s="56">
        <v>5.57</v>
      </c>
      <c r="F38" s="56">
        <v>6.38</v>
      </c>
      <c r="G38" s="57">
        <v>6.8</v>
      </c>
      <c r="H38" s="56">
        <v>7.1</v>
      </c>
      <c r="I38" s="56">
        <v>6.9</v>
      </c>
      <c r="J38" s="56">
        <v>6.7</v>
      </c>
      <c r="K38" s="57">
        <v>6.8</v>
      </c>
    </row>
    <row r="39" spans="1:14" ht="45" customHeight="1" x14ac:dyDescent="0.25">
      <c r="A39" s="254"/>
      <c r="B39" s="251" t="s">
        <v>21</v>
      </c>
      <c r="C39" s="251"/>
      <c r="D39" s="56">
        <v>6.7</v>
      </c>
      <c r="E39" s="56">
        <v>8.66</v>
      </c>
      <c r="F39" s="56">
        <v>8.7899999999999991</v>
      </c>
      <c r="G39" s="57">
        <v>11.9</v>
      </c>
      <c r="H39" s="56">
        <v>8.6</v>
      </c>
      <c r="I39" s="56">
        <v>8.4</v>
      </c>
      <c r="J39" s="56">
        <v>8.9</v>
      </c>
      <c r="K39" s="57">
        <v>9.1999999999999993</v>
      </c>
    </row>
    <row r="40" spans="1:14" ht="45" customHeight="1" x14ac:dyDescent="0.25">
      <c r="A40" s="254"/>
      <c r="B40" s="251" t="s">
        <v>22</v>
      </c>
      <c r="C40" s="251"/>
      <c r="D40" s="56">
        <v>5.2</v>
      </c>
      <c r="E40" s="56">
        <v>5.36</v>
      </c>
      <c r="F40" s="56">
        <v>6.69</v>
      </c>
      <c r="G40" s="57">
        <v>6</v>
      </c>
      <c r="H40" s="56">
        <v>5.0999999999999996</v>
      </c>
      <c r="I40" s="56">
        <v>5</v>
      </c>
      <c r="J40" s="56">
        <v>5</v>
      </c>
      <c r="K40" s="57">
        <v>4.9000000000000004</v>
      </c>
    </row>
    <row r="41" spans="1:14" ht="45" customHeight="1" x14ac:dyDescent="0.25">
      <c r="A41" s="254"/>
      <c r="B41" s="251" t="s">
        <v>23</v>
      </c>
      <c r="C41" s="251"/>
      <c r="D41" s="62">
        <v>3.5</v>
      </c>
      <c r="E41" s="62">
        <v>2.16</v>
      </c>
      <c r="F41" s="62">
        <v>3.97</v>
      </c>
      <c r="G41" s="63">
        <v>3.3</v>
      </c>
      <c r="H41" s="62">
        <v>3.3</v>
      </c>
      <c r="I41" s="62">
        <v>2.9</v>
      </c>
      <c r="J41" s="62">
        <v>3.1</v>
      </c>
      <c r="K41" s="63">
        <v>3.1</v>
      </c>
    </row>
    <row r="42" spans="1:14" ht="35.25" customHeight="1" x14ac:dyDescent="0.25">
      <c r="A42" s="256" t="s">
        <v>9</v>
      </c>
      <c r="B42" s="256" t="s">
        <v>18</v>
      </c>
      <c r="C42" s="256"/>
      <c r="D42" s="259" t="s">
        <v>3</v>
      </c>
      <c r="E42" s="257"/>
      <c r="F42" s="257"/>
      <c r="G42" s="258"/>
      <c r="H42" s="259" t="s">
        <v>4</v>
      </c>
      <c r="I42" s="257"/>
      <c r="J42" s="257"/>
      <c r="K42" s="258"/>
    </row>
    <row r="43" spans="1:14" ht="33.75" customHeight="1" x14ac:dyDescent="0.25">
      <c r="A43" s="256"/>
      <c r="B43" s="256"/>
      <c r="C43" s="256"/>
      <c r="D43" s="4">
        <v>2022</v>
      </c>
      <c r="E43" s="4">
        <v>2021</v>
      </c>
      <c r="F43" s="4">
        <v>2020</v>
      </c>
      <c r="G43" s="3">
        <v>2019</v>
      </c>
      <c r="H43" s="4">
        <v>2022</v>
      </c>
      <c r="I43" s="4">
        <v>2021</v>
      </c>
      <c r="J43" s="4">
        <v>2020</v>
      </c>
      <c r="K43" s="4">
        <v>2019</v>
      </c>
      <c r="L43" s="18"/>
    </row>
    <row r="44" spans="1:14" ht="30" customHeight="1" x14ac:dyDescent="0.25">
      <c r="A44" s="254" t="s">
        <v>12</v>
      </c>
      <c r="B44" s="251" t="s">
        <v>19</v>
      </c>
      <c r="C44" s="251"/>
      <c r="D44" s="59">
        <v>59.7</v>
      </c>
      <c r="E44" s="59">
        <v>66.31</v>
      </c>
      <c r="F44" s="59">
        <v>65.37</v>
      </c>
      <c r="G44" s="60">
        <v>69.3</v>
      </c>
      <c r="H44" s="58">
        <v>69.8</v>
      </c>
      <c r="I44" s="59">
        <v>69.7</v>
      </c>
      <c r="J44" s="59">
        <v>69.8</v>
      </c>
      <c r="K44" s="60">
        <v>68.7</v>
      </c>
    </row>
    <row r="45" spans="1:14" ht="27.75" customHeight="1" x14ac:dyDescent="0.25">
      <c r="A45" s="254"/>
      <c r="B45" s="251" t="s">
        <v>20</v>
      </c>
      <c r="C45" s="251"/>
      <c r="D45" s="56">
        <v>8.5</v>
      </c>
      <c r="E45" s="56">
        <v>5.18</v>
      </c>
      <c r="F45" s="56">
        <v>6.49</v>
      </c>
      <c r="G45" s="57">
        <v>6.8</v>
      </c>
      <c r="H45" s="55">
        <v>6.4</v>
      </c>
      <c r="I45" s="56">
        <v>6.7</v>
      </c>
      <c r="J45" s="56">
        <v>7</v>
      </c>
      <c r="K45" s="57">
        <v>7.5</v>
      </c>
    </row>
    <row r="46" spans="1:14" ht="45" customHeight="1" x14ac:dyDescent="0.25">
      <c r="A46" s="254"/>
      <c r="B46" s="251" t="s">
        <v>21</v>
      </c>
      <c r="C46" s="251"/>
      <c r="D46" s="56">
        <v>24.5</v>
      </c>
      <c r="E46" s="56">
        <v>19.87</v>
      </c>
      <c r="F46" s="56">
        <v>20.56</v>
      </c>
      <c r="G46" s="56">
        <v>15.7</v>
      </c>
      <c r="H46" s="55">
        <v>17.5</v>
      </c>
      <c r="I46" s="56">
        <v>17.2</v>
      </c>
      <c r="J46" s="56">
        <v>16.5</v>
      </c>
      <c r="K46" s="57">
        <v>16.600000000000001</v>
      </c>
    </row>
    <row r="47" spans="1:14" ht="46.5" customHeight="1" x14ac:dyDescent="0.25">
      <c r="A47" s="254"/>
      <c r="B47" s="251" t="s">
        <v>22</v>
      </c>
      <c r="C47" s="251"/>
      <c r="D47" s="56">
        <v>4.5</v>
      </c>
      <c r="E47" s="56">
        <v>6.26</v>
      </c>
      <c r="F47" s="56">
        <v>6.28</v>
      </c>
      <c r="G47" s="57">
        <v>6.8</v>
      </c>
      <c r="H47" s="55">
        <v>4.3</v>
      </c>
      <c r="I47" s="56">
        <v>4.5</v>
      </c>
      <c r="J47" s="56">
        <v>4.8</v>
      </c>
      <c r="K47" s="57">
        <v>5.3</v>
      </c>
      <c r="N47" s="1"/>
    </row>
    <row r="48" spans="1:14" ht="42" customHeight="1" x14ac:dyDescent="0.25">
      <c r="A48" s="254"/>
      <c r="B48" s="251" t="s">
        <v>23</v>
      </c>
      <c r="C48" s="251"/>
      <c r="D48" s="61">
        <v>2.1</v>
      </c>
      <c r="E48" s="62">
        <v>1.94</v>
      </c>
      <c r="F48" s="56">
        <v>1.3</v>
      </c>
      <c r="G48" s="63">
        <v>1.5</v>
      </c>
      <c r="H48" s="61">
        <v>1.5</v>
      </c>
      <c r="I48" s="56">
        <v>1.6</v>
      </c>
      <c r="J48" s="62">
        <v>1.6</v>
      </c>
      <c r="K48" s="57">
        <v>1.8</v>
      </c>
    </row>
    <row r="49" spans="1:26" ht="30" customHeight="1" x14ac:dyDescent="0.25">
      <c r="A49" s="252" t="s">
        <v>6</v>
      </c>
      <c r="B49" s="251" t="s">
        <v>19</v>
      </c>
      <c r="C49" s="251"/>
      <c r="D49" s="190">
        <v>73.7</v>
      </c>
      <c r="E49" s="37">
        <v>73.790000000000006</v>
      </c>
      <c r="F49" s="59">
        <v>73.290000000000006</v>
      </c>
      <c r="G49" s="60">
        <v>72.3</v>
      </c>
      <c r="H49" s="160">
        <v>72.599999999999994</v>
      </c>
      <c r="I49" s="160">
        <v>72.900000000000006</v>
      </c>
      <c r="J49" s="160">
        <v>72.8</v>
      </c>
      <c r="K49" s="60">
        <v>71.599999999999994</v>
      </c>
    </row>
    <row r="50" spans="1:26" ht="33" customHeight="1" x14ac:dyDescent="0.25">
      <c r="A50" s="252"/>
      <c r="B50" s="251" t="s">
        <v>20</v>
      </c>
      <c r="C50" s="251"/>
      <c r="D50" s="68">
        <v>7.1</v>
      </c>
      <c r="E50" s="37">
        <v>6.44</v>
      </c>
      <c r="F50" s="56">
        <v>11.25</v>
      </c>
      <c r="G50" s="57">
        <v>7.8</v>
      </c>
      <c r="H50" s="68">
        <v>8.8000000000000007</v>
      </c>
      <c r="I50" s="37">
        <v>8.8000000000000007</v>
      </c>
      <c r="J50" s="37">
        <v>8.9</v>
      </c>
      <c r="K50" s="57">
        <v>9.1</v>
      </c>
    </row>
    <row r="51" spans="1:26" ht="45" customHeight="1" x14ac:dyDescent="0.25">
      <c r="A51" s="252"/>
      <c r="B51" s="251" t="s">
        <v>21</v>
      </c>
      <c r="C51" s="251"/>
      <c r="D51" s="68">
        <v>11.2</v>
      </c>
      <c r="E51" s="37">
        <v>11.65</v>
      </c>
      <c r="F51" s="56">
        <v>6.37</v>
      </c>
      <c r="G51" s="56">
        <v>12.2</v>
      </c>
      <c r="H51" s="68">
        <v>10.7</v>
      </c>
      <c r="I51" s="37">
        <v>10.4</v>
      </c>
      <c r="J51" s="37">
        <v>10.6</v>
      </c>
      <c r="K51" s="57">
        <v>11.3</v>
      </c>
    </row>
    <row r="52" spans="1:26" ht="47.25" customHeight="1" x14ac:dyDescent="0.25">
      <c r="A52" s="252"/>
      <c r="B52" s="251" t="s">
        <v>22</v>
      </c>
      <c r="C52" s="251"/>
      <c r="D52" s="68">
        <v>5.2</v>
      </c>
      <c r="E52" s="37">
        <v>6.07</v>
      </c>
      <c r="F52" s="56">
        <v>6.77</v>
      </c>
      <c r="G52" s="56">
        <v>5.6</v>
      </c>
      <c r="H52" s="68">
        <v>5.3</v>
      </c>
      <c r="I52" s="37">
        <v>5.4</v>
      </c>
      <c r="J52" s="37">
        <v>5.4</v>
      </c>
      <c r="K52" s="57">
        <v>5.6</v>
      </c>
    </row>
    <row r="53" spans="1:26" ht="45" customHeight="1" x14ac:dyDescent="0.25">
      <c r="A53" s="252"/>
      <c r="B53" s="251" t="s">
        <v>23</v>
      </c>
      <c r="C53" s="251"/>
      <c r="D53" s="113">
        <v>2</v>
      </c>
      <c r="E53" s="189">
        <v>1.68</v>
      </c>
      <c r="F53" s="62">
        <v>2.31</v>
      </c>
      <c r="G53" s="62">
        <v>1.8</v>
      </c>
      <c r="H53" s="113">
        <v>2.2000000000000002</v>
      </c>
      <c r="I53" s="189">
        <v>2</v>
      </c>
      <c r="J53" s="62">
        <v>2.1</v>
      </c>
      <c r="K53" s="63">
        <v>2.2000000000000002</v>
      </c>
    </row>
    <row r="54" spans="1:26" ht="15" customHeight="1" x14ac:dyDescent="0.25">
      <c r="A54" s="250" t="s">
        <v>169</v>
      </c>
      <c r="B54" s="250"/>
      <c r="C54" s="250"/>
      <c r="D54" s="250"/>
      <c r="E54" s="250"/>
      <c r="F54" s="250"/>
      <c r="G54" s="11"/>
      <c r="H54" s="11"/>
      <c r="I54" s="11"/>
    </row>
    <row r="55" spans="1:26" x14ac:dyDescent="0.25">
      <c r="A55" s="32"/>
      <c r="B55" s="33"/>
      <c r="C55" s="33"/>
      <c r="D55" s="11"/>
      <c r="E55" s="11"/>
      <c r="F55" s="11"/>
      <c r="G55" s="11"/>
      <c r="H55" s="11"/>
      <c r="I55" s="11"/>
    </row>
    <row r="56" spans="1:26" x14ac:dyDescent="0.25">
      <c r="A56" s="249" t="s">
        <v>189</v>
      </c>
      <c r="B56" s="249"/>
      <c r="C56" s="249"/>
      <c r="D56" s="249"/>
      <c r="E56" s="249"/>
      <c r="F56" s="249"/>
      <c r="G56" s="249"/>
      <c r="H56" s="249"/>
      <c r="I56" s="249"/>
      <c r="J56" s="249"/>
      <c r="K56" s="249"/>
    </row>
    <row r="57" spans="1:26" x14ac:dyDescent="0.25">
      <c r="A57" s="137"/>
      <c r="B57" s="278" t="s">
        <v>190</v>
      </c>
      <c r="C57" s="278"/>
      <c r="D57" s="278"/>
      <c r="E57" s="278"/>
      <c r="F57" s="278"/>
      <c r="G57" s="279"/>
      <c r="H57" s="278" t="s">
        <v>179</v>
      </c>
      <c r="I57" s="278"/>
      <c r="J57" s="278"/>
      <c r="K57" s="278"/>
      <c r="L57" s="278"/>
      <c r="M57" s="279"/>
      <c r="N57" s="278" t="s">
        <v>180</v>
      </c>
      <c r="O57" s="278"/>
      <c r="P57" s="278"/>
      <c r="Q57" s="278"/>
      <c r="R57" s="278"/>
      <c r="S57" s="279"/>
      <c r="T57" s="277" t="s">
        <v>181</v>
      </c>
      <c r="U57" s="278"/>
      <c r="V57" s="278"/>
      <c r="W57" s="278"/>
      <c r="X57" s="278"/>
      <c r="Y57" s="279"/>
    </row>
    <row r="58" spans="1:26" ht="126" customHeight="1" x14ac:dyDescent="0.25">
      <c r="A58" s="280"/>
      <c r="B58" s="248" t="s">
        <v>25</v>
      </c>
      <c r="C58" s="248"/>
      <c r="D58" s="248" t="s">
        <v>26</v>
      </c>
      <c r="E58" s="248"/>
      <c r="F58" s="248" t="s">
        <v>144</v>
      </c>
      <c r="G58" s="247"/>
      <c r="H58" s="248" t="s">
        <v>25</v>
      </c>
      <c r="I58" s="248"/>
      <c r="J58" s="248" t="s">
        <v>26</v>
      </c>
      <c r="K58" s="248"/>
      <c r="L58" s="248" t="s">
        <v>144</v>
      </c>
      <c r="M58" s="247"/>
      <c r="N58" s="248" t="s">
        <v>25</v>
      </c>
      <c r="O58" s="248"/>
      <c r="P58" s="248" t="s">
        <v>26</v>
      </c>
      <c r="Q58" s="248"/>
      <c r="R58" s="245" t="s">
        <v>144</v>
      </c>
      <c r="S58" s="276"/>
      <c r="T58" s="244" t="s">
        <v>25</v>
      </c>
      <c r="U58" s="245"/>
      <c r="V58" s="245" t="s">
        <v>26</v>
      </c>
      <c r="W58" s="245"/>
      <c r="X58" s="245" t="s">
        <v>144</v>
      </c>
      <c r="Y58" s="276"/>
    </row>
    <row r="59" spans="1:26" x14ac:dyDescent="0.25">
      <c r="A59" s="281"/>
      <c r="B59" s="15" t="s">
        <v>3</v>
      </c>
      <c r="C59" s="138" t="s">
        <v>4</v>
      </c>
      <c r="D59" s="138" t="s">
        <v>3</v>
      </c>
      <c r="E59" s="138" t="s">
        <v>4</v>
      </c>
      <c r="F59" s="133" t="s">
        <v>3</v>
      </c>
      <c r="G59" s="132" t="s">
        <v>4</v>
      </c>
      <c r="H59" s="15" t="s">
        <v>3</v>
      </c>
      <c r="I59" s="16" t="s">
        <v>4</v>
      </c>
      <c r="J59" s="16" t="s">
        <v>3</v>
      </c>
      <c r="K59" s="16" t="s">
        <v>4</v>
      </c>
      <c r="L59" s="9" t="s">
        <v>3</v>
      </c>
      <c r="M59" s="17" t="s">
        <v>4</v>
      </c>
      <c r="N59" s="15" t="s">
        <v>3</v>
      </c>
      <c r="O59" s="16" t="s">
        <v>4</v>
      </c>
      <c r="P59" s="16" t="s">
        <v>3</v>
      </c>
      <c r="Q59" s="16" t="s">
        <v>4</v>
      </c>
      <c r="R59" s="19" t="s">
        <v>3</v>
      </c>
      <c r="S59" s="17" t="s">
        <v>4</v>
      </c>
      <c r="T59" s="15" t="s">
        <v>3</v>
      </c>
      <c r="U59" s="16" t="s">
        <v>4</v>
      </c>
      <c r="V59" s="16" t="s">
        <v>3</v>
      </c>
      <c r="W59" s="16" t="s">
        <v>4</v>
      </c>
      <c r="X59" s="24" t="s">
        <v>3</v>
      </c>
      <c r="Y59" s="17" t="s">
        <v>4</v>
      </c>
    </row>
    <row r="60" spans="1:26" ht="30" x14ac:dyDescent="0.25">
      <c r="A60" s="7" t="s">
        <v>10</v>
      </c>
      <c r="B60" s="59">
        <v>6.6</v>
      </c>
      <c r="C60" s="168">
        <v>6.6</v>
      </c>
      <c r="D60" s="59">
        <v>5.9</v>
      </c>
      <c r="E60" s="102">
        <v>5.4</v>
      </c>
      <c r="F60" s="59">
        <v>91.7</v>
      </c>
      <c r="G60" s="126">
        <v>90.5</v>
      </c>
      <c r="H60" s="59">
        <v>7.08</v>
      </c>
      <c r="I60" s="168">
        <v>6.8</v>
      </c>
      <c r="J60" s="59">
        <v>5.2</v>
      </c>
      <c r="K60" s="102">
        <v>5.3</v>
      </c>
      <c r="L60" s="59">
        <v>95.05</v>
      </c>
      <c r="M60" s="126">
        <v>91.1</v>
      </c>
      <c r="N60" s="59">
        <v>10.74</v>
      </c>
      <c r="O60" s="102">
        <v>9.4</v>
      </c>
      <c r="P60" s="54">
        <v>7.95</v>
      </c>
      <c r="Q60" s="102">
        <v>7.2</v>
      </c>
      <c r="R60" s="54">
        <v>96.35</v>
      </c>
      <c r="S60" s="182">
        <v>91</v>
      </c>
      <c r="T60" s="54">
        <v>8.6999999999999993</v>
      </c>
      <c r="U60" s="102">
        <v>9.4</v>
      </c>
      <c r="V60" s="54">
        <v>6.9</v>
      </c>
      <c r="W60" s="102">
        <v>7.1</v>
      </c>
      <c r="X60" s="54">
        <v>87.3</v>
      </c>
      <c r="Y60" s="126">
        <v>90.9</v>
      </c>
    </row>
    <row r="61" spans="1:26" ht="45" x14ac:dyDescent="0.25">
      <c r="A61" s="8" t="s">
        <v>11</v>
      </c>
      <c r="B61" s="55">
        <v>13.3</v>
      </c>
      <c r="C61" s="101">
        <v>11.3</v>
      </c>
      <c r="D61" s="56">
        <v>9.9</v>
      </c>
      <c r="E61" s="102">
        <v>7.7</v>
      </c>
      <c r="F61" s="56">
        <v>83.6</v>
      </c>
      <c r="G61" s="110">
        <v>74.2</v>
      </c>
      <c r="H61" s="55">
        <v>16.600000000000001</v>
      </c>
      <c r="I61" s="179">
        <v>12</v>
      </c>
      <c r="J61" s="56">
        <v>12.58</v>
      </c>
      <c r="K61" s="102">
        <v>8.5</v>
      </c>
      <c r="L61" s="56">
        <v>83.6</v>
      </c>
      <c r="M61" s="182">
        <v>78.8</v>
      </c>
      <c r="N61" s="54">
        <v>19.73</v>
      </c>
      <c r="O61" s="102">
        <v>16.399999999999999</v>
      </c>
      <c r="P61" s="54">
        <v>15.88</v>
      </c>
      <c r="Q61" s="102">
        <v>10.7</v>
      </c>
      <c r="R61" s="54">
        <v>90.45</v>
      </c>
      <c r="S61" s="182">
        <v>74.5</v>
      </c>
      <c r="T61" s="54">
        <v>20.7</v>
      </c>
      <c r="U61" s="102">
        <v>17</v>
      </c>
      <c r="V61" s="54">
        <v>16.2</v>
      </c>
      <c r="W61" s="102">
        <v>10.7</v>
      </c>
      <c r="X61" s="54">
        <v>85.5</v>
      </c>
      <c r="Y61" s="182">
        <v>70.7</v>
      </c>
    </row>
    <row r="62" spans="1:26" ht="45" x14ac:dyDescent="0.25">
      <c r="A62" s="8" t="s">
        <v>12</v>
      </c>
      <c r="B62" s="61">
        <v>11.5</v>
      </c>
      <c r="C62" s="103">
        <v>14.2</v>
      </c>
      <c r="D62" s="62">
        <v>8.6</v>
      </c>
      <c r="E62" s="103">
        <v>11.4</v>
      </c>
      <c r="F62" s="62">
        <v>85</v>
      </c>
      <c r="G62" s="110">
        <v>85</v>
      </c>
      <c r="H62" s="61">
        <v>10.37</v>
      </c>
      <c r="I62" s="103">
        <v>15.3</v>
      </c>
      <c r="J62" s="62">
        <v>8.64</v>
      </c>
      <c r="K62" s="103">
        <v>12.5</v>
      </c>
      <c r="L62" s="62">
        <v>83.72</v>
      </c>
      <c r="M62" s="182">
        <v>85.7</v>
      </c>
      <c r="N62" s="62">
        <v>12.77</v>
      </c>
      <c r="O62" s="103">
        <v>17.8</v>
      </c>
      <c r="P62" s="62">
        <v>10.15</v>
      </c>
      <c r="Q62" s="103">
        <v>14</v>
      </c>
      <c r="R62" s="54">
        <v>76.36</v>
      </c>
      <c r="S62" s="182">
        <v>82.2</v>
      </c>
      <c r="T62" s="56">
        <v>14.6</v>
      </c>
      <c r="U62" s="103">
        <v>17.2</v>
      </c>
      <c r="V62" s="56">
        <v>11.5</v>
      </c>
      <c r="W62" s="103">
        <v>13.3</v>
      </c>
      <c r="X62" s="56">
        <v>74.3</v>
      </c>
      <c r="Y62" s="111">
        <v>82.6</v>
      </c>
    </row>
    <row r="63" spans="1:26" x14ac:dyDescent="0.25">
      <c r="A63" s="162" t="s">
        <v>6</v>
      </c>
      <c r="B63" s="170">
        <v>9.5</v>
      </c>
      <c r="C63" s="163">
        <v>9</v>
      </c>
      <c r="D63" s="171">
        <v>7.2</v>
      </c>
      <c r="E63" s="163">
        <v>6.9</v>
      </c>
      <c r="F63" s="171">
        <v>86.8</v>
      </c>
      <c r="G63" s="167">
        <v>82.6</v>
      </c>
      <c r="H63" s="70">
        <v>10.63</v>
      </c>
      <c r="I63" s="166">
        <v>9.5</v>
      </c>
      <c r="J63" s="71">
        <v>8.09</v>
      </c>
      <c r="K63" s="166">
        <v>7.1</v>
      </c>
      <c r="L63" s="71">
        <v>87.63</v>
      </c>
      <c r="M63" s="167">
        <v>84.8</v>
      </c>
      <c r="N63" s="157">
        <v>14.12</v>
      </c>
      <c r="O63" s="163">
        <v>12.5</v>
      </c>
      <c r="P63" s="157">
        <v>11</v>
      </c>
      <c r="Q63" s="164">
        <v>9.1</v>
      </c>
      <c r="R63" s="157">
        <v>90.54</v>
      </c>
      <c r="S63" s="167">
        <v>82.8</v>
      </c>
      <c r="T63" s="156">
        <v>13.3</v>
      </c>
      <c r="U63" s="166">
        <v>12.5</v>
      </c>
      <c r="V63" s="157">
        <v>10.5</v>
      </c>
      <c r="W63" s="164">
        <v>8.9</v>
      </c>
      <c r="X63" s="157">
        <v>83.9</v>
      </c>
      <c r="Y63" s="165">
        <v>81.3</v>
      </c>
      <c r="Z63" s="18"/>
    </row>
    <row r="64" spans="1:26" ht="15" customHeight="1" x14ac:dyDescent="0.25">
      <c r="A64" s="250" t="s">
        <v>169</v>
      </c>
      <c r="B64" s="250"/>
      <c r="C64" s="250"/>
      <c r="D64" s="250"/>
      <c r="E64" s="250"/>
      <c r="F64" s="250"/>
      <c r="G64" s="136"/>
      <c r="I64" s="1"/>
      <c r="O64" s="136"/>
      <c r="W64" s="136"/>
      <c r="Y64" s="136"/>
    </row>
  </sheetData>
  <mergeCells count="75">
    <mergeCell ref="H58:I58"/>
    <mergeCell ref="J58:K58"/>
    <mergeCell ref="J21:K21"/>
    <mergeCell ref="H57:M57"/>
    <mergeCell ref="D30:F30"/>
    <mergeCell ref="N58:O58"/>
    <mergeCell ref="P58:Q58"/>
    <mergeCell ref="L21:M21"/>
    <mergeCell ref="L58:M58"/>
    <mergeCell ref="N57:S57"/>
    <mergeCell ref="A64:F64"/>
    <mergeCell ref="A58:A59"/>
    <mergeCell ref="B40:C40"/>
    <mergeCell ref="B57:G57"/>
    <mergeCell ref="B58:C58"/>
    <mergeCell ref="D58:E58"/>
    <mergeCell ref="F58:G58"/>
    <mergeCell ref="T58:U58"/>
    <mergeCell ref="V58:W58"/>
    <mergeCell ref="X58:Y58"/>
    <mergeCell ref="R58:S58"/>
    <mergeCell ref="T57:Y57"/>
    <mergeCell ref="A18:F18"/>
    <mergeCell ref="A27:F27"/>
    <mergeCell ref="B42:C43"/>
    <mergeCell ref="A44:A48"/>
    <mergeCell ref="B32:C32"/>
    <mergeCell ref="B33:C33"/>
    <mergeCell ref="B41:C41"/>
    <mergeCell ref="B34:C34"/>
    <mergeCell ref="A42:A43"/>
    <mergeCell ref="B48:C48"/>
    <mergeCell ref="B44:C44"/>
    <mergeCell ref="B45:C45"/>
    <mergeCell ref="B46:C46"/>
    <mergeCell ref="B35:C35"/>
    <mergeCell ref="B36:C36"/>
    <mergeCell ref="A20:K20"/>
    <mergeCell ref="F2:G3"/>
    <mergeCell ref="A12:A13"/>
    <mergeCell ref="B12:C12"/>
    <mergeCell ref="D12:E12"/>
    <mergeCell ref="F12:G12"/>
    <mergeCell ref="A2:A4"/>
    <mergeCell ref="B2:C3"/>
    <mergeCell ref="D2:E3"/>
    <mergeCell ref="A9:F9"/>
    <mergeCell ref="A1:F1"/>
    <mergeCell ref="A11:G11"/>
    <mergeCell ref="B47:C47"/>
    <mergeCell ref="A37:A41"/>
    <mergeCell ref="B37:C37"/>
    <mergeCell ref="A29:I29"/>
    <mergeCell ref="A30:A31"/>
    <mergeCell ref="B30:C31"/>
    <mergeCell ref="B38:C38"/>
    <mergeCell ref="B39:C39"/>
    <mergeCell ref="A32:A36"/>
    <mergeCell ref="H30:K30"/>
    <mergeCell ref="D42:G42"/>
    <mergeCell ref="H42:K42"/>
    <mergeCell ref="H2:I3"/>
    <mergeCell ref="A21:A22"/>
    <mergeCell ref="B21:C21"/>
    <mergeCell ref="D21:E21"/>
    <mergeCell ref="F21:G21"/>
    <mergeCell ref="H21:I21"/>
    <mergeCell ref="A56:K56"/>
    <mergeCell ref="A54:F54"/>
    <mergeCell ref="B50:C50"/>
    <mergeCell ref="B51:C51"/>
    <mergeCell ref="A49:A53"/>
    <mergeCell ref="B52:C52"/>
    <mergeCell ref="B53:C53"/>
    <mergeCell ref="B49:C49"/>
  </mergeCells>
  <pageMargins left="0.7" right="0.7" top="0.75" bottom="0.75" header="0.3" footer="0.3"/>
  <pageSetup paperSize="9" scale="53" fitToHeight="0" orientation="landscape" r:id="rId1"/>
  <rowBreaks count="3" manualBreakCount="3">
    <brk id="19" max="16383" man="1"/>
    <brk id="41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4"/>
  <sheetViews>
    <sheetView workbookViewId="0">
      <selection activeCell="A19" sqref="A19"/>
    </sheetView>
  </sheetViews>
  <sheetFormatPr defaultColWidth="9.140625" defaultRowHeight="15" x14ac:dyDescent="0.25"/>
  <cols>
    <col min="1" max="1" width="39.5703125" style="26" customWidth="1"/>
    <col min="2" max="3" width="18.28515625" style="26" customWidth="1"/>
    <col min="4" max="4" width="18.28515625" style="173" customWidth="1"/>
    <col min="5" max="8" width="18.28515625" style="26" customWidth="1"/>
    <col min="9" max="9" width="18.28515625" style="173" customWidth="1"/>
    <col min="10" max="12" width="18.28515625" style="26" customWidth="1"/>
    <col min="13" max="13" width="18.28515625" style="173" customWidth="1"/>
    <col min="14" max="16384" width="9.140625" style="26"/>
  </cols>
  <sheetData>
    <row r="1" spans="1:14" x14ac:dyDescent="0.25">
      <c r="A1" s="249" t="s">
        <v>198</v>
      </c>
      <c r="B1" s="249"/>
      <c r="C1" s="249"/>
      <c r="D1" s="249"/>
      <c r="E1" s="249"/>
      <c r="F1" s="249"/>
      <c r="G1" s="249"/>
    </row>
    <row r="2" spans="1:14" x14ac:dyDescent="0.25">
      <c r="B2" s="286" t="s">
        <v>190</v>
      </c>
      <c r="C2" s="287"/>
      <c r="D2" s="287"/>
      <c r="E2" s="288"/>
      <c r="F2" s="286" t="s">
        <v>179</v>
      </c>
      <c r="G2" s="287"/>
      <c r="H2" s="287"/>
      <c r="I2" s="288"/>
      <c r="J2" s="286" t="s">
        <v>180</v>
      </c>
      <c r="K2" s="287"/>
      <c r="L2" s="287"/>
      <c r="M2" s="288"/>
    </row>
    <row r="3" spans="1:14" ht="75" x14ac:dyDescent="0.25">
      <c r="A3" s="233" t="s">
        <v>27</v>
      </c>
      <c r="B3" s="29" t="s">
        <v>43</v>
      </c>
      <c r="C3" s="29" t="s">
        <v>15</v>
      </c>
      <c r="D3" s="29" t="s">
        <v>175</v>
      </c>
      <c r="E3" s="30" t="s">
        <v>197</v>
      </c>
      <c r="F3" s="29" t="s">
        <v>43</v>
      </c>
      <c r="G3" s="29" t="s">
        <v>15</v>
      </c>
      <c r="H3" s="29" t="s">
        <v>175</v>
      </c>
      <c r="I3" s="30" t="s">
        <v>197</v>
      </c>
      <c r="J3" s="29" t="s">
        <v>43</v>
      </c>
      <c r="K3" s="29" t="s">
        <v>15</v>
      </c>
      <c r="L3" s="29" t="s">
        <v>175</v>
      </c>
      <c r="M3" s="30" t="s">
        <v>197</v>
      </c>
      <c r="N3" s="49"/>
    </row>
    <row r="4" spans="1:14" x14ac:dyDescent="0.25">
      <c r="A4" s="73" t="s">
        <v>28</v>
      </c>
      <c r="B4" s="67">
        <f>55.6+30.6</f>
        <v>86.2</v>
      </c>
      <c r="C4" s="67">
        <f>31.9+55.6</f>
        <v>87.5</v>
      </c>
      <c r="D4" s="160">
        <f>54.2+38.9</f>
        <v>93.1</v>
      </c>
      <c r="E4" s="194">
        <f>26.4+61.1</f>
        <v>87.5</v>
      </c>
      <c r="F4" s="67">
        <v>90.91</v>
      </c>
      <c r="G4" s="67">
        <v>89.39</v>
      </c>
      <c r="H4" s="160">
        <v>92.42</v>
      </c>
      <c r="I4" s="69">
        <f>29.2+46.2</f>
        <v>75.400000000000006</v>
      </c>
      <c r="J4" s="67">
        <v>86.44</v>
      </c>
      <c r="K4" s="67">
        <v>89.83</v>
      </c>
      <c r="L4" s="67">
        <v>86.44</v>
      </c>
      <c r="M4" s="197">
        <f>16.1+46.4</f>
        <v>62.5</v>
      </c>
    </row>
    <row r="5" spans="1:14" x14ac:dyDescent="0.25">
      <c r="A5" s="73" t="s">
        <v>37</v>
      </c>
      <c r="B5" s="67">
        <f>43.5+46.9</f>
        <v>90.4</v>
      </c>
      <c r="C5" s="67">
        <f>21.8+68.7</f>
        <v>90.5</v>
      </c>
      <c r="D5" s="37">
        <f>38.1+42.9</f>
        <v>81</v>
      </c>
      <c r="E5" s="195">
        <f>17.8+49.3</f>
        <v>67.099999999999994</v>
      </c>
      <c r="F5" s="67">
        <v>87.36</v>
      </c>
      <c r="G5" s="67">
        <v>86.26</v>
      </c>
      <c r="H5" s="37">
        <v>79.67</v>
      </c>
      <c r="I5" s="69">
        <f>24.3+43.1</f>
        <v>67.400000000000006</v>
      </c>
      <c r="J5" s="67">
        <v>94.09</v>
      </c>
      <c r="K5" s="67">
        <v>90.32</v>
      </c>
      <c r="L5" s="67">
        <v>86.56</v>
      </c>
      <c r="M5" s="69">
        <f>22.7+47</f>
        <v>69.7</v>
      </c>
    </row>
    <row r="6" spans="1:14" x14ac:dyDescent="0.25">
      <c r="A6" s="73" t="s">
        <v>29</v>
      </c>
      <c r="B6" s="67">
        <f>53.8+37.9</f>
        <v>91.699999999999989</v>
      </c>
      <c r="C6" s="67">
        <f>23.5+61.4</f>
        <v>84.9</v>
      </c>
      <c r="D6" s="67">
        <f>51.5+37.9</f>
        <v>89.4</v>
      </c>
      <c r="E6" s="69">
        <f>19+49.2</f>
        <v>68.2</v>
      </c>
      <c r="F6" s="67">
        <v>93.27</v>
      </c>
      <c r="G6" s="67">
        <v>90.13</v>
      </c>
      <c r="H6" s="37">
        <v>92.38</v>
      </c>
      <c r="I6" s="69">
        <f>20.3+51.2</f>
        <v>71.5</v>
      </c>
      <c r="J6" s="67">
        <v>89.67</v>
      </c>
      <c r="K6" s="67">
        <v>86.78</v>
      </c>
      <c r="L6" s="67">
        <v>89.67</v>
      </c>
      <c r="M6" s="69">
        <f>20.4+42.9</f>
        <v>63.3</v>
      </c>
    </row>
    <row r="7" spans="1:14" ht="30" x14ac:dyDescent="0.25">
      <c r="A7" s="73" t="s">
        <v>42</v>
      </c>
      <c r="B7" s="67">
        <f>53.4+40.2</f>
        <v>93.6</v>
      </c>
      <c r="C7" s="67">
        <f>36.1+58.6</f>
        <v>94.7</v>
      </c>
      <c r="D7" s="67">
        <f>51.4+39.4</f>
        <v>90.8</v>
      </c>
      <c r="E7" s="69">
        <f>21.4+47.3</f>
        <v>68.699999999999989</v>
      </c>
      <c r="F7" s="67">
        <v>92.21</v>
      </c>
      <c r="G7" s="67">
        <v>91.77</v>
      </c>
      <c r="H7" s="37">
        <v>91.77</v>
      </c>
      <c r="I7" s="69">
        <f>19.6+44.6</f>
        <v>64.2</v>
      </c>
      <c r="J7" s="67">
        <v>86.03</v>
      </c>
      <c r="K7" s="67">
        <v>84.36</v>
      </c>
      <c r="L7" s="67">
        <v>87.71</v>
      </c>
      <c r="M7" s="69">
        <f>25+43.3</f>
        <v>68.3</v>
      </c>
    </row>
    <row r="8" spans="1:14" x14ac:dyDescent="0.25">
      <c r="A8" s="73" t="s">
        <v>30</v>
      </c>
      <c r="B8" s="67">
        <f>69.1+25.7</f>
        <v>94.8</v>
      </c>
      <c r="C8" s="67">
        <f>46.7+44.7</f>
        <v>91.4</v>
      </c>
      <c r="D8" s="67">
        <f>57.9+32.2</f>
        <v>90.1</v>
      </c>
      <c r="E8" s="69">
        <f>38+42.3</f>
        <v>80.3</v>
      </c>
      <c r="F8" s="67">
        <v>91.53</v>
      </c>
      <c r="G8" s="67">
        <v>89.95</v>
      </c>
      <c r="H8" s="37">
        <v>89.95</v>
      </c>
      <c r="I8" s="69">
        <f>40.5+38.4</f>
        <v>78.900000000000006</v>
      </c>
      <c r="J8" s="67">
        <v>88.59</v>
      </c>
      <c r="K8" s="67">
        <v>84.24</v>
      </c>
      <c r="L8" s="67">
        <v>88.59</v>
      </c>
      <c r="M8" s="69">
        <f>36.7+44.6</f>
        <v>81.300000000000011</v>
      </c>
    </row>
    <row r="9" spans="1:14" ht="30" x14ac:dyDescent="0.25">
      <c r="A9" s="73" t="s">
        <v>31</v>
      </c>
      <c r="B9" s="67">
        <f>48.6+46.6</f>
        <v>95.2</v>
      </c>
      <c r="C9" s="67">
        <f>31.5+62.3</f>
        <v>93.8</v>
      </c>
      <c r="D9" s="67">
        <f>37.7+39</f>
        <v>76.7</v>
      </c>
      <c r="E9" s="69">
        <f>31.9+49.3</f>
        <v>81.199999999999989</v>
      </c>
      <c r="F9" s="67">
        <v>90.24</v>
      </c>
      <c r="G9" s="67">
        <v>92.07</v>
      </c>
      <c r="H9" s="37">
        <v>82.32</v>
      </c>
      <c r="I9" s="69">
        <f>24.4+51.3</f>
        <v>75.699999999999989</v>
      </c>
      <c r="J9" s="67">
        <v>90.57</v>
      </c>
      <c r="K9" s="67">
        <v>88.68</v>
      </c>
      <c r="L9" s="67">
        <v>89.94</v>
      </c>
      <c r="M9" s="69">
        <f>23+49.3</f>
        <v>72.3</v>
      </c>
    </row>
    <row r="10" spans="1:14" x14ac:dyDescent="0.25">
      <c r="A10" s="73" t="s">
        <v>41</v>
      </c>
      <c r="B10" s="67">
        <f>48.1+47.4</f>
        <v>95.5</v>
      </c>
      <c r="C10" s="67">
        <f>33.1+59.7</f>
        <v>92.800000000000011</v>
      </c>
      <c r="D10" s="67">
        <f>42.2+46.1</f>
        <v>88.300000000000011</v>
      </c>
      <c r="E10" s="69">
        <f>15.1+52</f>
        <v>67.099999999999994</v>
      </c>
      <c r="F10" s="67">
        <v>95.12</v>
      </c>
      <c r="G10" s="67">
        <v>90.24</v>
      </c>
      <c r="H10" s="37">
        <v>84.55</v>
      </c>
      <c r="I10" s="69">
        <f>24+38.8</f>
        <v>62.8</v>
      </c>
      <c r="J10" s="67">
        <v>92.31</v>
      </c>
      <c r="K10" s="67">
        <v>89.23</v>
      </c>
      <c r="L10" s="67">
        <v>92.31</v>
      </c>
      <c r="M10" s="69">
        <f>27.2+52.8</f>
        <v>80</v>
      </c>
    </row>
    <row r="11" spans="1:14" x14ac:dyDescent="0.25">
      <c r="A11" s="73" t="s">
        <v>32</v>
      </c>
      <c r="B11" s="67">
        <f>47+44</f>
        <v>91</v>
      </c>
      <c r="C11" s="67">
        <f>32+66</f>
        <v>98</v>
      </c>
      <c r="D11" s="67">
        <f>41+44</f>
        <v>85</v>
      </c>
      <c r="E11" s="69">
        <f>23.5+42.9</f>
        <v>66.400000000000006</v>
      </c>
      <c r="F11" s="67">
        <v>94.9</v>
      </c>
      <c r="G11" s="67">
        <v>96.94</v>
      </c>
      <c r="H11" s="37">
        <v>88.78</v>
      </c>
      <c r="I11" s="69">
        <f>28.6+44.9</f>
        <v>73.5</v>
      </c>
      <c r="J11" s="67">
        <v>94.12</v>
      </c>
      <c r="K11" s="67">
        <v>88.24</v>
      </c>
      <c r="L11" s="67">
        <v>89.41</v>
      </c>
      <c r="M11" s="69">
        <f>38.6+45.8</f>
        <v>84.4</v>
      </c>
    </row>
    <row r="12" spans="1:14" ht="18.75" customHeight="1" x14ac:dyDescent="0.25">
      <c r="A12" s="73" t="s">
        <v>38</v>
      </c>
      <c r="B12" s="67">
        <f>69.4+28.6</f>
        <v>98</v>
      </c>
      <c r="C12" s="67">
        <f>65.3+30.6</f>
        <v>95.9</v>
      </c>
      <c r="D12" s="67">
        <f>67.3+30.6</f>
        <v>97.9</v>
      </c>
      <c r="E12" s="69">
        <f>26.7+44.4</f>
        <v>71.099999999999994</v>
      </c>
      <c r="F12" s="67">
        <v>95.38</v>
      </c>
      <c r="G12" s="67">
        <v>95.38</v>
      </c>
      <c r="H12" s="37">
        <v>87.69</v>
      </c>
      <c r="I12" s="69">
        <f>14.5+54.8</f>
        <v>69.3</v>
      </c>
      <c r="J12" s="67">
        <v>75.64</v>
      </c>
      <c r="K12" s="67">
        <v>85.9</v>
      </c>
      <c r="L12" s="67">
        <v>80.77</v>
      </c>
      <c r="M12" s="69">
        <f>23.3+30.1</f>
        <v>53.400000000000006</v>
      </c>
    </row>
    <row r="13" spans="1:14" ht="27.75" customHeight="1" x14ac:dyDescent="0.25">
      <c r="A13" s="73" t="s">
        <v>33</v>
      </c>
      <c r="B13" s="67">
        <f>26.1+59.1</f>
        <v>85.2</v>
      </c>
      <c r="C13" s="67">
        <f>16.5+56.9</f>
        <v>73.400000000000006</v>
      </c>
      <c r="D13" s="67">
        <f>23.9+35.3</f>
        <v>59.199999999999996</v>
      </c>
      <c r="E13" s="69">
        <f>36.3+44.6</f>
        <v>80.900000000000006</v>
      </c>
      <c r="F13" s="67">
        <v>84.62</v>
      </c>
      <c r="G13" s="67">
        <v>78.959999999999994</v>
      </c>
      <c r="H13" s="37">
        <v>65.16</v>
      </c>
      <c r="I13" s="69">
        <f>39.4+44</f>
        <v>83.4</v>
      </c>
      <c r="J13" s="67">
        <v>80.62</v>
      </c>
      <c r="K13" s="67">
        <v>70.22</v>
      </c>
      <c r="L13" s="67">
        <v>66.290000000000006</v>
      </c>
      <c r="M13" s="69">
        <f>54.5+33.8</f>
        <v>88.3</v>
      </c>
    </row>
    <row r="14" spans="1:14" x14ac:dyDescent="0.25">
      <c r="A14" s="73" t="s">
        <v>39</v>
      </c>
      <c r="B14" s="67">
        <f>58.8+35.8</f>
        <v>94.6</v>
      </c>
      <c r="C14" s="67">
        <f>54.7+41.2</f>
        <v>95.9</v>
      </c>
      <c r="D14" s="67">
        <f>62.2+34.5</f>
        <v>96.7</v>
      </c>
      <c r="E14" s="69">
        <f>32.9+42</f>
        <v>74.900000000000006</v>
      </c>
      <c r="F14" s="67">
        <v>97.65</v>
      </c>
      <c r="G14" s="67">
        <v>94.71</v>
      </c>
      <c r="H14" s="37">
        <v>93.53</v>
      </c>
      <c r="I14" s="69">
        <f>31.2+44.7</f>
        <v>75.900000000000006</v>
      </c>
      <c r="J14" s="67">
        <v>92.9</v>
      </c>
      <c r="K14" s="67">
        <v>91.26</v>
      </c>
      <c r="L14" s="67">
        <v>92.9</v>
      </c>
      <c r="M14" s="69">
        <f>37.2+45.3</f>
        <v>82.5</v>
      </c>
    </row>
    <row r="15" spans="1:14" x14ac:dyDescent="0.25">
      <c r="A15" s="73" t="s">
        <v>40</v>
      </c>
      <c r="B15" s="67">
        <f>55.1+39.5</f>
        <v>94.6</v>
      </c>
      <c r="C15" s="67">
        <f>39+55.9</f>
        <v>94.9</v>
      </c>
      <c r="D15" s="67">
        <f>56.1+35</f>
        <v>91.1</v>
      </c>
      <c r="E15" s="69">
        <f>25.6+38.6</f>
        <v>64.2</v>
      </c>
      <c r="F15" s="67">
        <v>93.11</v>
      </c>
      <c r="G15" s="67">
        <v>97.25</v>
      </c>
      <c r="H15" s="37">
        <v>93.39</v>
      </c>
      <c r="I15" s="69">
        <f>19.3+44.3</f>
        <v>63.599999999999994</v>
      </c>
      <c r="J15" s="67">
        <v>88.73</v>
      </c>
      <c r="K15" s="67">
        <v>94.37</v>
      </c>
      <c r="L15" s="67">
        <v>92.96</v>
      </c>
      <c r="M15" s="69">
        <f>24.8+35</f>
        <v>59.8</v>
      </c>
    </row>
    <row r="16" spans="1:14" x14ac:dyDescent="0.25">
      <c r="A16" s="73" t="s">
        <v>34</v>
      </c>
      <c r="B16" s="67">
        <f>68.9+26.4</f>
        <v>95.300000000000011</v>
      </c>
      <c r="C16" s="67">
        <f>58.1+38.5</f>
        <v>96.6</v>
      </c>
      <c r="D16" s="67">
        <f>63.5+32.4</f>
        <v>95.9</v>
      </c>
      <c r="E16" s="69">
        <f>37.9+40.7</f>
        <v>78.599999999999994</v>
      </c>
      <c r="F16" s="67">
        <v>95.68</v>
      </c>
      <c r="G16" s="67">
        <v>97.53</v>
      </c>
      <c r="H16" s="37">
        <v>94.44</v>
      </c>
      <c r="I16" s="69">
        <f>34.6+43.4</f>
        <v>78</v>
      </c>
      <c r="J16" s="67">
        <v>93.57</v>
      </c>
      <c r="K16" s="67">
        <v>92.98</v>
      </c>
      <c r="L16" s="67">
        <v>92.98</v>
      </c>
      <c r="M16" s="69">
        <f>41.1+47</f>
        <v>88.1</v>
      </c>
    </row>
    <row r="17" spans="1:13" x14ac:dyDescent="0.25">
      <c r="A17" s="73" t="s">
        <v>35</v>
      </c>
      <c r="B17" s="67">
        <f>46.1+46.4</f>
        <v>92.5</v>
      </c>
      <c r="C17" s="67">
        <f>26.3+62.9</f>
        <v>89.2</v>
      </c>
      <c r="D17" s="67">
        <f>48.5+41.5</f>
        <v>90</v>
      </c>
      <c r="E17" s="69">
        <f>25.9+43.9</f>
        <v>69.8</v>
      </c>
      <c r="F17" s="67">
        <v>92.13</v>
      </c>
      <c r="G17" s="67">
        <v>89.44</v>
      </c>
      <c r="H17" s="189">
        <v>90.34</v>
      </c>
      <c r="I17" s="69">
        <f>24+47.6</f>
        <v>71.599999999999994</v>
      </c>
      <c r="J17" s="67">
        <v>87.42</v>
      </c>
      <c r="K17" s="67">
        <v>83.89</v>
      </c>
      <c r="L17" s="67">
        <v>84.55</v>
      </c>
      <c r="M17" s="69">
        <f>25.1+45.2</f>
        <v>70.300000000000011</v>
      </c>
    </row>
    <row r="18" spans="1:13" x14ac:dyDescent="0.25">
      <c r="A18" s="74" t="s">
        <v>36</v>
      </c>
      <c r="B18" s="148">
        <f>49.7+42.6</f>
        <v>92.300000000000011</v>
      </c>
      <c r="C18" s="27">
        <f>33.5+56.3</f>
        <v>89.8</v>
      </c>
      <c r="D18" s="53">
        <f>47.3+37.8</f>
        <v>85.1</v>
      </c>
      <c r="E18" s="149">
        <f>27.6+44.9</f>
        <v>72.5</v>
      </c>
      <c r="F18" s="71">
        <v>91.68</v>
      </c>
      <c r="G18" s="71">
        <v>90.46</v>
      </c>
      <c r="H18" s="71">
        <v>86.43</v>
      </c>
      <c r="I18" s="72">
        <f>27+45.5</f>
        <v>72.5</v>
      </c>
      <c r="J18" s="71">
        <v>88.7</v>
      </c>
      <c r="K18" s="71">
        <v>89.9</v>
      </c>
      <c r="L18" s="71">
        <v>87.6</v>
      </c>
      <c r="M18" s="72">
        <f>30.6+43.5</f>
        <v>74.099999999999994</v>
      </c>
    </row>
    <row r="19" spans="1:13" x14ac:dyDescent="0.25">
      <c r="A19" s="232" t="s">
        <v>4</v>
      </c>
      <c r="B19" s="152">
        <f>42.8+47.7</f>
        <v>90.5</v>
      </c>
      <c r="C19" s="152">
        <f>27.8+61</f>
        <v>88.8</v>
      </c>
      <c r="D19" s="152">
        <f>41.8+41.8</f>
        <v>83.6</v>
      </c>
      <c r="E19" s="152">
        <f>19.3+44.9</f>
        <v>64.2</v>
      </c>
      <c r="F19" s="198">
        <v>90.5</v>
      </c>
      <c r="G19" s="152">
        <v>88.8</v>
      </c>
      <c r="H19" s="152">
        <v>84.4</v>
      </c>
      <c r="I19" s="152">
        <f>18.8+45.1</f>
        <v>63.900000000000006</v>
      </c>
      <c r="J19" s="198">
        <v>90.800000000000011</v>
      </c>
      <c r="K19" s="152">
        <v>88.6</v>
      </c>
      <c r="L19" s="152">
        <v>85.9</v>
      </c>
      <c r="M19" s="143">
        <f>19.6+46.1</f>
        <v>65.7</v>
      </c>
    </row>
    <row r="20" spans="1:13" x14ac:dyDescent="0.25">
      <c r="A20" s="285" t="s">
        <v>169</v>
      </c>
      <c r="B20" s="250"/>
      <c r="C20" s="250"/>
      <c r="D20" s="250"/>
      <c r="E20" s="250"/>
      <c r="F20" s="250"/>
      <c r="G20" s="250"/>
    </row>
    <row r="22" spans="1:13" x14ac:dyDescent="0.25">
      <c r="B22" s="173"/>
      <c r="C22" s="173"/>
      <c r="D22" s="196"/>
    </row>
    <row r="23" spans="1:13" x14ac:dyDescent="0.25">
      <c r="B23" s="173"/>
      <c r="C23" s="173"/>
    </row>
    <row r="24" spans="1:13" x14ac:dyDescent="0.25">
      <c r="B24" s="173"/>
      <c r="C24" s="196"/>
    </row>
  </sheetData>
  <mergeCells count="5">
    <mergeCell ref="A1:G1"/>
    <mergeCell ref="A20:G20"/>
    <mergeCell ref="B2:E2"/>
    <mergeCell ref="F2:I2"/>
    <mergeCell ref="J2:M2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94"/>
  <sheetViews>
    <sheetView topLeftCell="A38" zoomScaleNormal="100" workbookViewId="0">
      <selection activeCell="A39" sqref="A39:N41"/>
    </sheetView>
  </sheetViews>
  <sheetFormatPr defaultColWidth="9.140625" defaultRowHeight="15" x14ac:dyDescent="0.25"/>
  <cols>
    <col min="1" max="1" width="20" style="26" customWidth="1"/>
    <col min="2" max="2" width="13.42578125" style="26" customWidth="1"/>
    <col min="3" max="16384" width="9.140625" style="26"/>
  </cols>
  <sheetData>
    <row r="1" spans="1:15" ht="30" customHeight="1" x14ac:dyDescent="0.25">
      <c r="A1" s="296" t="s">
        <v>218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3" spans="1:15" ht="82.5" customHeight="1" x14ac:dyDescent="0.25">
      <c r="A3" s="292" t="s">
        <v>45</v>
      </c>
      <c r="B3" s="292" t="s">
        <v>46</v>
      </c>
      <c r="C3" s="290" t="s">
        <v>219</v>
      </c>
      <c r="D3" s="284"/>
      <c r="E3" s="290" t="s">
        <v>13</v>
      </c>
      <c r="F3" s="291"/>
      <c r="G3" s="284" t="s">
        <v>14</v>
      </c>
      <c r="H3" s="284"/>
      <c r="I3" s="290" t="s">
        <v>15</v>
      </c>
      <c r="J3" s="291"/>
      <c r="K3" s="284" t="s">
        <v>175</v>
      </c>
      <c r="L3" s="284"/>
      <c r="M3" s="290" t="s">
        <v>47</v>
      </c>
      <c r="N3" s="291"/>
    </row>
    <row r="4" spans="1:15" x14ac:dyDescent="0.25">
      <c r="A4" s="293"/>
      <c r="B4" s="293"/>
      <c r="C4" s="34" t="s">
        <v>3</v>
      </c>
      <c r="D4" s="35" t="s">
        <v>17</v>
      </c>
      <c r="E4" s="34" t="s">
        <v>3</v>
      </c>
      <c r="F4" s="36" t="s">
        <v>17</v>
      </c>
      <c r="G4" s="35" t="s">
        <v>3</v>
      </c>
      <c r="H4" s="35" t="s">
        <v>17</v>
      </c>
      <c r="I4" s="34" t="s">
        <v>3</v>
      </c>
      <c r="J4" s="36" t="s">
        <v>17</v>
      </c>
      <c r="K4" s="35" t="s">
        <v>3</v>
      </c>
      <c r="L4" s="35" t="s">
        <v>17</v>
      </c>
      <c r="M4" s="34" t="s">
        <v>3</v>
      </c>
      <c r="N4" s="36" t="s">
        <v>17</v>
      </c>
    </row>
    <row r="5" spans="1:15" x14ac:dyDescent="0.25">
      <c r="A5" s="174" t="s">
        <v>213</v>
      </c>
      <c r="B5" s="77" t="s">
        <v>182</v>
      </c>
      <c r="C5" s="78">
        <v>13</v>
      </c>
      <c r="D5" s="99">
        <v>3382</v>
      </c>
      <c r="E5" s="172">
        <v>92.3</v>
      </c>
      <c r="F5" s="110">
        <v>93.6</v>
      </c>
      <c r="G5" s="172">
        <f>50+41.7</f>
        <v>91.7</v>
      </c>
      <c r="H5" s="110">
        <f>44.3+47.7</f>
        <v>92</v>
      </c>
      <c r="I5" s="172">
        <f>58.3+41.7</f>
        <v>100</v>
      </c>
      <c r="J5" s="101">
        <f>27.4+64.8</f>
        <v>92.199999999999989</v>
      </c>
      <c r="K5" s="172">
        <f>75+8.3</f>
        <v>83.3</v>
      </c>
      <c r="L5" s="101">
        <f>42.9+42</f>
        <v>84.9</v>
      </c>
      <c r="M5" s="172">
        <v>66.7</v>
      </c>
      <c r="N5" s="105">
        <v>72.900000000000006</v>
      </c>
      <c r="O5" s="173"/>
    </row>
    <row r="6" spans="1:15" x14ac:dyDescent="0.25">
      <c r="A6" s="76" t="s">
        <v>48</v>
      </c>
      <c r="B6" s="77" t="s">
        <v>49</v>
      </c>
      <c r="C6" s="78">
        <v>50</v>
      </c>
      <c r="D6" s="99">
        <v>3219</v>
      </c>
      <c r="E6" s="107">
        <v>98</v>
      </c>
      <c r="F6" s="110">
        <v>96.6</v>
      </c>
      <c r="G6" s="79">
        <f>49+51</f>
        <v>100</v>
      </c>
      <c r="H6" s="101">
        <f>40.2+51.5</f>
        <v>91.7</v>
      </c>
      <c r="I6" s="107">
        <f>12.2+75.5</f>
        <v>87.7</v>
      </c>
      <c r="J6" s="110">
        <f>21.9+67.4</f>
        <v>89.300000000000011</v>
      </c>
      <c r="K6" s="79">
        <f>32.7+49</f>
        <v>81.7</v>
      </c>
      <c r="L6" s="101">
        <f>34.4+43.5</f>
        <v>77.900000000000006</v>
      </c>
      <c r="M6" s="107">
        <v>79.599999999999994</v>
      </c>
      <c r="N6" s="105">
        <v>69.7</v>
      </c>
    </row>
    <row r="7" spans="1:15" ht="45" x14ac:dyDescent="0.25">
      <c r="A7" s="76" t="s">
        <v>51</v>
      </c>
      <c r="B7" s="77" t="s">
        <v>52</v>
      </c>
      <c r="C7" s="78">
        <v>9</v>
      </c>
      <c r="D7" s="99">
        <v>2415</v>
      </c>
      <c r="E7" s="107">
        <v>100</v>
      </c>
      <c r="F7" s="110">
        <v>94.6</v>
      </c>
      <c r="G7" s="107">
        <f>11.1+44.4</f>
        <v>55.5</v>
      </c>
      <c r="H7" s="101">
        <f>40.5+49.4</f>
        <v>89.9</v>
      </c>
      <c r="I7" s="107">
        <f>0+55.6</f>
        <v>55.6</v>
      </c>
      <c r="J7" s="110">
        <f>29.8+60.5</f>
        <v>90.3</v>
      </c>
      <c r="K7" s="107">
        <f>55.6+22.2</f>
        <v>77.8</v>
      </c>
      <c r="L7" s="101">
        <f>43.8+38.4</f>
        <v>82.199999999999989</v>
      </c>
      <c r="M7" s="107">
        <v>33.299999999999997</v>
      </c>
      <c r="N7" s="105">
        <v>67.8</v>
      </c>
      <c r="O7" s="38"/>
    </row>
    <row r="8" spans="1:15" ht="30" x14ac:dyDescent="0.25">
      <c r="A8" s="76" t="s">
        <v>53</v>
      </c>
      <c r="B8" s="77" t="s">
        <v>54</v>
      </c>
      <c r="C8" s="78">
        <v>228</v>
      </c>
      <c r="D8" s="99">
        <v>16845</v>
      </c>
      <c r="E8" s="107">
        <v>92.5</v>
      </c>
      <c r="F8" s="110">
        <v>93.9</v>
      </c>
      <c r="G8" s="79">
        <f>46.4+46.9</f>
        <v>93.3</v>
      </c>
      <c r="H8" s="101">
        <f>40.6+51.3</f>
        <v>91.9</v>
      </c>
      <c r="I8" s="107">
        <f>20.9+68.7</f>
        <v>89.6</v>
      </c>
      <c r="J8" s="110">
        <f>21.9+65.2</f>
        <v>87.1</v>
      </c>
      <c r="K8" s="79">
        <f>47.9+41.2</f>
        <v>89.1</v>
      </c>
      <c r="L8" s="101">
        <f>44.7+44.7</f>
        <v>89.4</v>
      </c>
      <c r="M8" s="107">
        <v>74.900000000000006</v>
      </c>
      <c r="N8" s="105">
        <v>73.5</v>
      </c>
    </row>
    <row r="9" spans="1:15" ht="30" x14ac:dyDescent="0.25">
      <c r="A9" s="76" t="s">
        <v>199</v>
      </c>
      <c r="B9" s="77" t="s">
        <v>55</v>
      </c>
      <c r="C9" s="78">
        <v>2</v>
      </c>
      <c r="D9" s="99">
        <v>1810</v>
      </c>
      <c r="E9" s="107">
        <v>100</v>
      </c>
      <c r="F9" s="110">
        <v>95.5</v>
      </c>
      <c r="G9" s="79" t="s">
        <v>200</v>
      </c>
      <c r="H9" s="104">
        <f>46.9+45.7</f>
        <v>92.6</v>
      </c>
      <c r="I9" s="202" t="s">
        <v>200</v>
      </c>
      <c r="J9" s="105">
        <f>25.8+62</f>
        <v>87.8</v>
      </c>
      <c r="K9" s="177" t="s">
        <v>200</v>
      </c>
      <c r="L9" s="104">
        <f>29.3+41.4</f>
        <v>70.7</v>
      </c>
      <c r="M9" s="202" t="s">
        <v>200</v>
      </c>
      <c r="N9" s="193" t="s">
        <v>216</v>
      </c>
    </row>
    <row r="10" spans="1:15" ht="60" x14ac:dyDescent="0.25">
      <c r="A10" s="76" t="s">
        <v>56</v>
      </c>
      <c r="B10" s="77" t="s">
        <v>57</v>
      </c>
      <c r="C10" s="78">
        <v>25</v>
      </c>
      <c r="D10" s="99">
        <v>4012</v>
      </c>
      <c r="E10" s="107">
        <v>100</v>
      </c>
      <c r="F10" s="110">
        <v>94.7</v>
      </c>
      <c r="G10" s="79">
        <f>36+56</f>
        <v>92</v>
      </c>
      <c r="H10" s="101">
        <f>31.2+51.2</f>
        <v>82.4</v>
      </c>
      <c r="I10" s="107">
        <f>32+60</f>
        <v>92</v>
      </c>
      <c r="J10" s="110">
        <f>23.4+62.4</f>
        <v>85.8</v>
      </c>
      <c r="K10" s="79">
        <f>40+32</f>
        <v>72</v>
      </c>
      <c r="L10" s="205">
        <f>35.8+40.4</f>
        <v>76.199999999999989</v>
      </c>
      <c r="M10" s="107">
        <v>84</v>
      </c>
      <c r="N10" s="105">
        <v>65.900000000000006</v>
      </c>
    </row>
    <row r="11" spans="1:15" ht="60" x14ac:dyDescent="0.25">
      <c r="A11" s="76" t="s">
        <v>59</v>
      </c>
      <c r="B11" s="77" t="s">
        <v>52</v>
      </c>
      <c r="C11" s="78">
        <v>16</v>
      </c>
      <c r="D11" s="178">
        <v>2415</v>
      </c>
      <c r="E11" s="107">
        <v>100</v>
      </c>
      <c r="F11" s="182">
        <v>94.6</v>
      </c>
      <c r="G11" s="79">
        <f>87.5+12.5</f>
        <v>100</v>
      </c>
      <c r="H11" s="179">
        <f>40.5+49.4</f>
        <v>89.9</v>
      </c>
      <c r="I11" s="107">
        <f>75+25</f>
        <v>100</v>
      </c>
      <c r="J11" s="182">
        <f>29.8+60.5</f>
        <v>90.3</v>
      </c>
      <c r="K11" s="79">
        <f>81.2+18.8</f>
        <v>100</v>
      </c>
      <c r="L11" s="179">
        <f>43.8+38.4</f>
        <v>82.199999999999989</v>
      </c>
      <c r="M11" s="107">
        <v>93.8</v>
      </c>
      <c r="N11" s="180">
        <v>67.8</v>
      </c>
    </row>
    <row r="12" spans="1:15" ht="60" x14ac:dyDescent="0.25">
      <c r="A12" s="76" t="s">
        <v>60</v>
      </c>
      <c r="B12" s="77" t="s">
        <v>61</v>
      </c>
      <c r="C12" s="78">
        <v>132</v>
      </c>
      <c r="D12" s="99">
        <v>9947</v>
      </c>
      <c r="E12" s="107">
        <v>98.5</v>
      </c>
      <c r="F12" s="110">
        <v>95.4</v>
      </c>
      <c r="G12" s="79">
        <f>34.6+56.2</f>
        <v>90.800000000000011</v>
      </c>
      <c r="H12" s="101">
        <f>43.8+48.2</f>
        <v>92</v>
      </c>
      <c r="I12" s="107">
        <f>20.8+63.8</f>
        <v>84.6</v>
      </c>
      <c r="J12" s="110">
        <f>31.2+58.3</f>
        <v>89.5</v>
      </c>
      <c r="K12" s="79">
        <f>26.9+43.8</f>
        <v>70.699999999999989</v>
      </c>
      <c r="L12" s="101">
        <f>34.1+40.2</f>
        <v>74.300000000000011</v>
      </c>
      <c r="M12" s="107">
        <v>53.8</v>
      </c>
      <c r="N12" s="105">
        <v>70.400000000000006</v>
      </c>
    </row>
    <row r="13" spans="1:15" ht="30" x14ac:dyDescent="0.25">
      <c r="A13" s="80" t="s">
        <v>62</v>
      </c>
      <c r="B13" s="81" t="s">
        <v>63</v>
      </c>
      <c r="C13" s="82">
        <v>40</v>
      </c>
      <c r="D13" s="151">
        <v>7213</v>
      </c>
      <c r="E13" s="109">
        <v>100</v>
      </c>
      <c r="F13" s="111">
        <v>94.7</v>
      </c>
      <c r="G13" s="83">
        <f>37.5+55</f>
        <v>92.5</v>
      </c>
      <c r="H13" s="103">
        <f>37.2+52.9</f>
        <v>90.1</v>
      </c>
      <c r="I13" s="109">
        <f>27.5+57.5</f>
        <v>85</v>
      </c>
      <c r="J13" s="111">
        <f>18.1+67.1</f>
        <v>85.199999999999989</v>
      </c>
      <c r="K13" s="83">
        <f>27.5+42.5</f>
        <v>70</v>
      </c>
      <c r="L13" s="103">
        <f>33.1+43.4</f>
        <v>76.5</v>
      </c>
      <c r="M13" s="109">
        <v>77.5</v>
      </c>
      <c r="N13" s="169">
        <v>74.099999999999994</v>
      </c>
    </row>
    <row r="14" spans="1:15" ht="75" customHeight="1" x14ac:dyDescent="0.25">
      <c r="A14" s="292" t="s">
        <v>45</v>
      </c>
      <c r="B14" s="292" t="s">
        <v>46</v>
      </c>
      <c r="C14" s="290" t="s">
        <v>191</v>
      </c>
      <c r="D14" s="284"/>
      <c r="E14" s="294" t="s">
        <v>13</v>
      </c>
      <c r="F14" s="295"/>
      <c r="G14" s="284" t="s">
        <v>14</v>
      </c>
      <c r="H14" s="284"/>
      <c r="I14" s="290" t="s">
        <v>15</v>
      </c>
      <c r="J14" s="291"/>
      <c r="K14" s="284" t="s">
        <v>175</v>
      </c>
      <c r="L14" s="284"/>
      <c r="M14" s="290" t="s">
        <v>47</v>
      </c>
      <c r="N14" s="291"/>
    </row>
    <row r="15" spans="1:15" ht="25.5" customHeight="1" x14ac:dyDescent="0.25">
      <c r="A15" s="293"/>
      <c r="B15" s="293"/>
      <c r="C15" s="34" t="s">
        <v>3</v>
      </c>
      <c r="D15" s="35" t="s">
        <v>17</v>
      </c>
      <c r="E15" s="112" t="s">
        <v>3</v>
      </c>
      <c r="F15" s="115" t="s">
        <v>17</v>
      </c>
      <c r="G15" s="35" t="s">
        <v>3</v>
      </c>
      <c r="H15" s="35" t="s">
        <v>17</v>
      </c>
      <c r="I15" s="34" t="s">
        <v>3</v>
      </c>
      <c r="J15" s="36" t="s">
        <v>17</v>
      </c>
      <c r="K15" s="35" t="s">
        <v>3</v>
      </c>
      <c r="L15" s="35" t="s">
        <v>17</v>
      </c>
      <c r="M15" s="34" t="s">
        <v>3</v>
      </c>
      <c r="N15" s="36" t="s">
        <v>17</v>
      </c>
    </row>
    <row r="16" spans="1:15" ht="45" x14ac:dyDescent="0.25">
      <c r="A16" s="76" t="s">
        <v>64</v>
      </c>
      <c r="B16" s="77" t="s">
        <v>63</v>
      </c>
      <c r="C16" s="78">
        <v>35</v>
      </c>
      <c r="D16" s="99">
        <v>7213</v>
      </c>
      <c r="E16" s="107">
        <v>97.1</v>
      </c>
      <c r="F16" s="110">
        <v>94.7</v>
      </c>
      <c r="G16" s="79">
        <f>32.4+58.8</f>
        <v>91.199999999999989</v>
      </c>
      <c r="H16" s="179">
        <f>37.2+52.9</f>
        <v>90.1</v>
      </c>
      <c r="I16" s="107">
        <f>8.8+82.4</f>
        <v>91.2</v>
      </c>
      <c r="J16" s="182">
        <f>18.1+67.1</f>
        <v>85.199999999999989</v>
      </c>
      <c r="K16" s="79">
        <f>23.5+35.3</f>
        <v>58.8</v>
      </c>
      <c r="L16" s="179">
        <f>33.1+43.4</f>
        <v>76.5</v>
      </c>
      <c r="M16" s="107">
        <v>70.599999999999994</v>
      </c>
      <c r="N16" s="105">
        <v>74.099999999999994</v>
      </c>
    </row>
    <row r="17" spans="1:15" ht="60" x14ac:dyDescent="0.25">
      <c r="A17" s="76" t="s">
        <v>65</v>
      </c>
      <c r="B17" s="77" t="s">
        <v>66</v>
      </c>
      <c r="C17" s="78">
        <v>118</v>
      </c>
      <c r="D17" s="99">
        <v>6848</v>
      </c>
      <c r="E17" s="107">
        <v>95.8</v>
      </c>
      <c r="F17" s="110">
        <v>96.4</v>
      </c>
      <c r="G17" s="79">
        <f>39.8+54</f>
        <v>93.8</v>
      </c>
      <c r="H17" s="182">
        <f>34.4+53.2</f>
        <v>87.6</v>
      </c>
      <c r="I17" s="107">
        <f>31+63.7</f>
        <v>94.7</v>
      </c>
      <c r="J17" s="182">
        <f>26.1+64.6</f>
        <v>90.699999999999989</v>
      </c>
      <c r="K17" s="79">
        <f>46+46</f>
        <v>92</v>
      </c>
      <c r="L17" s="182">
        <f>34.5+48.6</f>
        <v>83.1</v>
      </c>
      <c r="M17" s="107">
        <v>67.3</v>
      </c>
      <c r="N17" s="105">
        <v>59.5</v>
      </c>
    </row>
    <row r="18" spans="1:15" ht="60" x14ac:dyDescent="0.25">
      <c r="A18" s="76" t="s">
        <v>67</v>
      </c>
      <c r="B18" s="77" t="s">
        <v>57</v>
      </c>
      <c r="C18" s="78">
        <v>15</v>
      </c>
      <c r="D18" s="178">
        <v>4012</v>
      </c>
      <c r="E18" s="107">
        <v>100</v>
      </c>
      <c r="F18" s="182">
        <v>94.7</v>
      </c>
      <c r="G18" s="79">
        <f>33.3+53.3</f>
        <v>86.6</v>
      </c>
      <c r="H18" s="179">
        <f>31.2+51.2</f>
        <v>82.4</v>
      </c>
      <c r="I18" s="107">
        <f>40+46.7</f>
        <v>86.7</v>
      </c>
      <c r="J18" s="182">
        <f>23.4+62.4</f>
        <v>85.8</v>
      </c>
      <c r="K18" s="79">
        <f>46.7+26.7</f>
        <v>73.400000000000006</v>
      </c>
      <c r="L18" s="205">
        <f>35.8+40.4</f>
        <v>76.199999999999989</v>
      </c>
      <c r="M18" s="107">
        <v>80</v>
      </c>
      <c r="N18" s="180">
        <v>65.900000000000006</v>
      </c>
      <c r="O18" s="38"/>
    </row>
    <row r="19" spans="1:15" x14ac:dyDescent="0.25">
      <c r="A19" s="76" t="s">
        <v>68</v>
      </c>
      <c r="B19" s="77" t="s">
        <v>69</v>
      </c>
      <c r="C19" s="78">
        <v>11</v>
      </c>
      <c r="D19" s="99">
        <v>1675</v>
      </c>
      <c r="E19" s="107">
        <v>100</v>
      </c>
      <c r="F19" s="110">
        <v>95.2</v>
      </c>
      <c r="G19" s="79">
        <f>63.6+27.3</f>
        <v>90.9</v>
      </c>
      <c r="H19" s="101">
        <f>47.8+45.2</f>
        <v>93</v>
      </c>
      <c r="I19" s="107">
        <f>45.5+54.5</f>
        <v>100</v>
      </c>
      <c r="J19" s="110">
        <f>26.5+64.8</f>
        <v>91.3</v>
      </c>
      <c r="K19" s="79">
        <f>45.5+54.5</f>
        <v>100</v>
      </c>
      <c r="L19" s="101">
        <f>32.7+42.8</f>
        <v>75.5</v>
      </c>
      <c r="M19" s="107">
        <v>81.8</v>
      </c>
      <c r="N19" s="105">
        <v>79.7</v>
      </c>
    </row>
    <row r="20" spans="1:15" ht="120" x14ac:dyDescent="0.25">
      <c r="A20" s="76" t="s">
        <v>70</v>
      </c>
      <c r="B20" s="77" t="s">
        <v>57</v>
      </c>
      <c r="C20" s="84">
        <v>8</v>
      </c>
      <c r="D20" s="178">
        <v>4012</v>
      </c>
      <c r="E20" s="107">
        <v>87.5</v>
      </c>
      <c r="F20" s="182">
        <v>94.7</v>
      </c>
      <c r="G20" s="128">
        <f>100+0</f>
        <v>100</v>
      </c>
      <c r="H20" s="179">
        <f>31.2+51.2</f>
        <v>82.4</v>
      </c>
      <c r="I20" s="130">
        <f>85.7+14.3</f>
        <v>100</v>
      </c>
      <c r="J20" s="182">
        <f>23.4+62.4</f>
        <v>85.8</v>
      </c>
      <c r="K20" s="79">
        <f>28.6+71.4</f>
        <v>100</v>
      </c>
      <c r="L20" s="205">
        <f>35.8+40.4</f>
        <v>76.199999999999989</v>
      </c>
      <c r="M20" s="107">
        <v>100</v>
      </c>
      <c r="N20" s="180">
        <v>65.900000000000006</v>
      </c>
    </row>
    <row r="21" spans="1:15" ht="60" x14ac:dyDescent="0.25">
      <c r="A21" s="76" t="s">
        <v>71</v>
      </c>
      <c r="B21" s="77" t="s">
        <v>61</v>
      </c>
      <c r="C21" s="78">
        <v>12</v>
      </c>
      <c r="D21" s="178">
        <v>9947</v>
      </c>
      <c r="E21" s="107">
        <v>100</v>
      </c>
      <c r="F21" s="182">
        <v>95.4</v>
      </c>
      <c r="G21" s="79">
        <f>41.7+58.3</f>
        <v>100</v>
      </c>
      <c r="H21" s="182">
        <f>43.8+48.2</f>
        <v>92</v>
      </c>
      <c r="I21" s="177">
        <f>41.7+58.3</f>
        <v>100</v>
      </c>
      <c r="J21" s="182">
        <f>31.2+58.3</f>
        <v>89.5</v>
      </c>
      <c r="K21" s="79">
        <f>16.7+66.7</f>
        <v>83.4</v>
      </c>
      <c r="L21" s="179">
        <f>34.1+40.2</f>
        <v>74.300000000000011</v>
      </c>
      <c r="M21" s="107">
        <v>75</v>
      </c>
      <c r="N21" s="180">
        <v>70.400000000000006</v>
      </c>
    </row>
    <row r="22" spans="1:15" ht="30" x14ac:dyDescent="0.25">
      <c r="A22" s="76" t="s">
        <v>72</v>
      </c>
      <c r="B22" s="77" t="s">
        <v>73</v>
      </c>
      <c r="C22" s="78">
        <v>16</v>
      </c>
      <c r="D22" s="99">
        <v>1235</v>
      </c>
      <c r="E22" s="107">
        <v>100</v>
      </c>
      <c r="F22" s="110">
        <v>95.1</v>
      </c>
      <c r="G22" s="79">
        <f>68.8+31.2</f>
        <v>100</v>
      </c>
      <c r="H22" s="101">
        <f>44.9+47</f>
        <v>91.9</v>
      </c>
      <c r="I22" s="107">
        <f>50+43.8</f>
        <v>93.8</v>
      </c>
      <c r="J22" s="110">
        <f>29.6+64.2</f>
        <v>93.800000000000011</v>
      </c>
      <c r="K22" s="79">
        <f>43.8+50</f>
        <v>93.8</v>
      </c>
      <c r="L22" s="101">
        <f>42.1+42.1</f>
        <v>84.2</v>
      </c>
      <c r="M22" s="107">
        <v>87.5</v>
      </c>
      <c r="N22" s="105">
        <v>71.2</v>
      </c>
    </row>
    <row r="23" spans="1:15" x14ac:dyDescent="0.25">
      <c r="A23" s="80" t="s">
        <v>74</v>
      </c>
      <c r="B23" s="81" t="s">
        <v>75</v>
      </c>
      <c r="C23" s="82">
        <v>69</v>
      </c>
      <c r="D23" s="100">
        <v>3954</v>
      </c>
      <c r="E23" s="109">
        <v>100</v>
      </c>
      <c r="F23" s="111">
        <v>96.3</v>
      </c>
      <c r="G23" s="83">
        <f>46.4+44.9</f>
        <v>91.3</v>
      </c>
      <c r="H23" s="103">
        <f>42.3+50.6</f>
        <v>92.9</v>
      </c>
      <c r="I23" s="109">
        <f>20.3+78.3</f>
        <v>98.6</v>
      </c>
      <c r="J23" s="111">
        <f>22.3+67.8</f>
        <v>90.1</v>
      </c>
      <c r="K23" s="83">
        <f>34.8+49.3</f>
        <v>84.1</v>
      </c>
      <c r="L23" s="103">
        <f>37.5+44.7</f>
        <v>82.2</v>
      </c>
      <c r="M23" s="109">
        <v>66.7</v>
      </c>
      <c r="N23" s="106">
        <v>74.400000000000006</v>
      </c>
    </row>
    <row r="24" spans="1:15" ht="75" customHeight="1" x14ac:dyDescent="0.25">
      <c r="A24" s="292" t="s">
        <v>45</v>
      </c>
      <c r="B24" s="292" t="s">
        <v>46</v>
      </c>
      <c r="C24" s="290" t="s">
        <v>191</v>
      </c>
      <c r="D24" s="284"/>
      <c r="E24" s="294" t="s">
        <v>13</v>
      </c>
      <c r="F24" s="295"/>
      <c r="G24" s="284" t="s">
        <v>14</v>
      </c>
      <c r="H24" s="284"/>
      <c r="I24" s="290" t="s">
        <v>15</v>
      </c>
      <c r="J24" s="291"/>
      <c r="K24" s="284" t="s">
        <v>175</v>
      </c>
      <c r="L24" s="284"/>
      <c r="M24" s="290" t="s">
        <v>47</v>
      </c>
      <c r="N24" s="291"/>
    </row>
    <row r="25" spans="1:15" x14ac:dyDescent="0.25">
      <c r="A25" s="293"/>
      <c r="B25" s="293"/>
      <c r="C25" s="34" t="s">
        <v>3</v>
      </c>
      <c r="D25" s="35" t="s">
        <v>17</v>
      </c>
      <c r="E25" s="112" t="s">
        <v>3</v>
      </c>
      <c r="F25" s="115" t="s">
        <v>17</v>
      </c>
      <c r="G25" s="35" t="s">
        <v>3</v>
      </c>
      <c r="H25" s="35" t="s">
        <v>17</v>
      </c>
      <c r="I25" s="34" t="s">
        <v>3</v>
      </c>
      <c r="J25" s="36" t="s">
        <v>17</v>
      </c>
      <c r="K25" s="35" t="s">
        <v>3</v>
      </c>
      <c r="L25" s="35" t="s">
        <v>17</v>
      </c>
      <c r="M25" s="34" t="s">
        <v>3</v>
      </c>
      <c r="N25" s="36" t="s">
        <v>17</v>
      </c>
    </row>
    <row r="26" spans="1:15" x14ac:dyDescent="0.25">
      <c r="A26" s="76" t="s">
        <v>76</v>
      </c>
      <c r="B26" s="77" t="s">
        <v>77</v>
      </c>
      <c r="C26" s="78">
        <v>37</v>
      </c>
      <c r="D26" s="99">
        <v>1952</v>
      </c>
      <c r="E26" s="107">
        <v>94.6</v>
      </c>
      <c r="F26" s="110">
        <v>94.5</v>
      </c>
      <c r="G26" s="79">
        <f>51.4+42.9</f>
        <v>94.3</v>
      </c>
      <c r="H26" s="101">
        <f>44.2+48.8</f>
        <v>93</v>
      </c>
      <c r="I26" s="107">
        <f>20+71.4</f>
        <v>91.4</v>
      </c>
      <c r="J26" s="110">
        <f>22.3+67.4</f>
        <v>89.7</v>
      </c>
      <c r="K26" s="79">
        <f>40+37.1</f>
        <v>77.099999999999994</v>
      </c>
      <c r="L26" s="101">
        <f>32.6+42.7</f>
        <v>75.300000000000011</v>
      </c>
      <c r="M26" s="107">
        <v>85.7</v>
      </c>
      <c r="N26" s="105">
        <v>80.3</v>
      </c>
    </row>
    <row r="27" spans="1:15" x14ac:dyDescent="0.25">
      <c r="A27" s="76" t="s">
        <v>201</v>
      </c>
      <c r="B27" s="77" t="s">
        <v>58</v>
      </c>
      <c r="C27" s="78">
        <v>4</v>
      </c>
      <c r="D27" s="99">
        <v>535</v>
      </c>
      <c r="E27" s="107">
        <v>100</v>
      </c>
      <c r="F27" s="110">
        <v>95.1</v>
      </c>
      <c r="G27" s="79" t="s">
        <v>200</v>
      </c>
      <c r="H27" s="101">
        <f>54.8+39.5</f>
        <v>94.3</v>
      </c>
      <c r="I27" s="107" t="s">
        <v>200</v>
      </c>
      <c r="J27" s="110">
        <f>39.7+54.4</f>
        <v>94.1</v>
      </c>
      <c r="K27" s="79" t="s">
        <v>200</v>
      </c>
      <c r="L27" s="101">
        <f>51.1+36.7</f>
        <v>87.800000000000011</v>
      </c>
      <c r="M27" s="107" t="s">
        <v>200</v>
      </c>
      <c r="N27" s="105">
        <v>79</v>
      </c>
    </row>
    <row r="28" spans="1:15" ht="30" x14ac:dyDescent="0.25">
      <c r="A28" s="76" t="s">
        <v>78</v>
      </c>
      <c r="B28" s="77" t="s">
        <v>79</v>
      </c>
      <c r="C28" s="84">
        <v>47</v>
      </c>
      <c r="D28" s="99">
        <v>2321</v>
      </c>
      <c r="E28" s="107">
        <v>100</v>
      </c>
      <c r="F28" s="110">
        <v>96</v>
      </c>
      <c r="G28" s="107">
        <f>59.6+38.3</f>
        <v>97.9</v>
      </c>
      <c r="H28" s="110">
        <f>49.5+43.7</f>
        <v>93.2</v>
      </c>
      <c r="I28" s="107">
        <f>42.6+57.4</f>
        <v>100</v>
      </c>
      <c r="J28" s="110">
        <f>30.6+61.8</f>
        <v>92.4</v>
      </c>
      <c r="K28" s="79">
        <f>70.2+23.4</f>
        <v>93.6</v>
      </c>
      <c r="L28" s="110">
        <f>46.6+41.7</f>
        <v>88.300000000000011</v>
      </c>
      <c r="M28" s="107">
        <v>72.3</v>
      </c>
      <c r="N28" s="110">
        <v>74.400000000000006</v>
      </c>
      <c r="O28" s="155"/>
    </row>
    <row r="29" spans="1:15" ht="30" x14ac:dyDescent="0.25">
      <c r="A29" s="76" t="s">
        <v>80</v>
      </c>
      <c r="B29" s="77" t="s">
        <v>81</v>
      </c>
      <c r="C29" s="78">
        <v>73</v>
      </c>
      <c r="D29" s="150">
        <v>7506</v>
      </c>
      <c r="E29" s="107">
        <v>98.6</v>
      </c>
      <c r="F29" s="110">
        <v>94.8</v>
      </c>
      <c r="G29" s="79">
        <f>43.1+54.2</f>
        <v>97.300000000000011</v>
      </c>
      <c r="H29" s="101">
        <f>36.8+52.3</f>
        <v>89.1</v>
      </c>
      <c r="I29" s="107">
        <f>23.6+69.4</f>
        <v>93</v>
      </c>
      <c r="J29" s="110">
        <f>22.6+68</f>
        <v>90.6</v>
      </c>
      <c r="K29" s="107">
        <f>37.5+50</f>
        <v>87.5</v>
      </c>
      <c r="L29" s="101">
        <f>46.2+44.6</f>
        <v>90.800000000000011</v>
      </c>
      <c r="M29" s="107">
        <v>69.400000000000006</v>
      </c>
      <c r="N29" s="105">
        <v>65.900000000000006</v>
      </c>
    </row>
    <row r="30" spans="1:15" ht="45" x14ac:dyDescent="0.25">
      <c r="A30" s="76" t="s">
        <v>82</v>
      </c>
      <c r="B30" s="77" t="s">
        <v>83</v>
      </c>
      <c r="C30" s="78">
        <v>135</v>
      </c>
      <c r="D30" s="99">
        <v>7790</v>
      </c>
      <c r="E30" s="107">
        <v>97</v>
      </c>
      <c r="F30" s="110">
        <v>93.2</v>
      </c>
      <c r="G30" s="79">
        <f>64.9+33.6</f>
        <v>98.5</v>
      </c>
      <c r="H30" s="101">
        <f>56.2+39.2</f>
        <v>95.4</v>
      </c>
      <c r="I30" s="107">
        <f>35.1+60.3</f>
        <v>95.4</v>
      </c>
      <c r="J30" s="110">
        <f>33.6+60.6</f>
        <v>94.2</v>
      </c>
      <c r="K30" s="79">
        <f>54.2+37.4</f>
        <v>91.6</v>
      </c>
      <c r="L30" s="101">
        <f>49.7+42.3</f>
        <v>92</v>
      </c>
      <c r="M30" s="107">
        <v>84.7</v>
      </c>
      <c r="N30" s="105">
        <v>77.5</v>
      </c>
    </row>
    <row r="31" spans="1:15" ht="30" x14ac:dyDescent="0.25">
      <c r="A31" s="76" t="s">
        <v>84</v>
      </c>
      <c r="B31" s="77" t="s">
        <v>85</v>
      </c>
      <c r="C31" s="78">
        <v>77</v>
      </c>
      <c r="D31" s="99">
        <v>5600</v>
      </c>
      <c r="E31" s="107">
        <v>87</v>
      </c>
      <c r="F31" s="110">
        <v>93</v>
      </c>
      <c r="G31" s="79">
        <f>55.2+35.8</f>
        <v>91</v>
      </c>
      <c r="H31" s="101">
        <f>38.2+52.6</f>
        <v>90.800000000000011</v>
      </c>
      <c r="I31" s="107">
        <f>22.4+61.2</f>
        <v>83.6</v>
      </c>
      <c r="J31" s="110">
        <f>19.1+66.6</f>
        <v>85.699999999999989</v>
      </c>
      <c r="K31" s="79">
        <f>47.8+44.8</f>
        <v>92.6</v>
      </c>
      <c r="L31" s="101">
        <f>41.5+45.4</f>
        <v>86.9</v>
      </c>
      <c r="M31" s="107">
        <v>76.099999999999994</v>
      </c>
      <c r="N31" s="105">
        <v>68.8</v>
      </c>
    </row>
    <row r="32" spans="1:15" x14ac:dyDescent="0.25">
      <c r="A32" s="76" t="s">
        <v>86</v>
      </c>
      <c r="B32" s="77" t="s">
        <v>87</v>
      </c>
      <c r="C32" s="78">
        <v>55</v>
      </c>
      <c r="D32" s="99">
        <v>5157</v>
      </c>
      <c r="E32" s="107">
        <v>90.9</v>
      </c>
      <c r="F32" s="110">
        <v>92.2</v>
      </c>
      <c r="G32" s="79">
        <f>68+30</f>
        <v>98</v>
      </c>
      <c r="H32" s="101">
        <f>40.5+50.7</f>
        <v>91.2</v>
      </c>
      <c r="I32" s="107">
        <f>50+48</f>
        <v>98</v>
      </c>
      <c r="J32" s="110">
        <f>23.7+64.3</f>
        <v>88</v>
      </c>
      <c r="K32" s="79">
        <f>58+36</f>
        <v>94</v>
      </c>
      <c r="L32" s="101">
        <f>43+45.9</f>
        <v>88.9</v>
      </c>
      <c r="M32" s="107">
        <v>76</v>
      </c>
      <c r="N32" s="105">
        <v>66.2</v>
      </c>
    </row>
    <row r="33" spans="1:16" ht="38.25" customHeight="1" x14ac:dyDescent="0.25">
      <c r="A33" s="85" t="s">
        <v>88</v>
      </c>
      <c r="B33" s="85" t="s">
        <v>89</v>
      </c>
      <c r="C33" s="78">
        <v>85</v>
      </c>
      <c r="D33" s="99">
        <v>2814</v>
      </c>
      <c r="E33" s="107">
        <v>97.6</v>
      </c>
      <c r="F33" s="110">
        <v>95.3</v>
      </c>
      <c r="G33" s="79">
        <f>63.9+31.3</f>
        <v>95.2</v>
      </c>
      <c r="H33" s="101">
        <f>47.7+45</f>
        <v>92.7</v>
      </c>
      <c r="I33" s="107">
        <f>51.8+44.6</f>
        <v>96.4</v>
      </c>
      <c r="J33" s="110">
        <f>30.9+60.9</f>
        <v>91.8</v>
      </c>
      <c r="K33" s="79">
        <f>57.8+38.6</f>
        <v>96.4</v>
      </c>
      <c r="L33" s="101">
        <f>41.9+45</f>
        <v>86.9</v>
      </c>
      <c r="M33" s="107">
        <v>86.7</v>
      </c>
      <c r="N33" s="105">
        <v>71.3</v>
      </c>
    </row>
    <row r="34" spans="1:16" x14ac:dyDescent="0.25">
      <c r="A34" s="76" t="s">
        <v>176</v>
      </c>
      <c r="B34" s="77" t="s">
        <v>50</v>
      </c>
      <c r="C34" s="78">
        <v>63</v>
      </c>
      <c r="D34" s="99">
        <v>2864</v>
      </c>
      <c r="E34" s="108">
        <v>93.7</v>
      </c>
      <c r="F34" s="110">
        <v>88</v>
      </c>
      <c r="G34" s="98">
        <f>86.4+13.6</f>
        <v>100</v>
      </c>
      <c r="H34" s="101">
        <f>52.7+40.7</f>
        <v>93.4</v>
      </c>
      <c r="I34" s="107">
        <f>69.5+25.4</f>
        <v>94.9</v>
      </c>
      <c r="J34" s="110">
        <f>36.4+54</f>
        <v>90.4</v>
      </c>
      <c r="K34" s="79">
        <f>78+22</f>
        <v>100</v>
      </c>
      <c r="L34" s="101">
        <f>50.4+38.6</f>
        <v>89</v>
      </c>
      <c r="M34" s="107">
        <v>86.4</v>
      </c>
      <c r="N34" s="105">
        <v>74.400000000000006</v>
      </c>
      <c r="O34" s="129"/>
      <c r="P34" s="38"/>
    </row>
    <row r="35" spans="1:16" ht="30" x14ac:dyDescent="0.25">
      <c r="A35" s="76" t="s">
        <v>90</v>
      </c>
      <c r="B35" s="77" t="s">
        <v>91</v>
      </c>
      <c r="C35" s="78">
        <v>55</v>
      </c>
      <c r="D35" s="99">
        <v>4828</v>
      </c>
      <c r="E35" s="107">
        <v>98.2</v>
      </c>
      <c r="F35" s="110">
        <v>93.4</v>
      </c>
      <c r="G35" s="79">
        <f>55.6+35.2</f>
        <v>90.800000000000011</v>
      </c>
      <c r="H35" s="101">
        <f>48.2+43.3</f>
        <v>91.5</v>
      </c>
      <c r="I35" s="107">
        <f>22.2+72.2</f>
        <v>94.4</v>
      </c>
      <c r="J35" s="110">
        <f>29.5+61</f>
        <v>90.5</v>
      </c>
      <c r="K35" s="79">
        <f>42.6+46.3</f>
        <v>88.9</v>
      </c>
      <c r="L35" s="101">
        <f>37.8+44</f>
        <v>81.8</v>
      </c>
      <c r="M35" s="107">
        <v>83.3</v>
      </c>
      <c r="N35" s="105">
        <v>75.099999999999994</v>
      </c>
    </row>
    <row r="36" spans="1:16" ht="150" x14ac:dyDescent="0.25">
      <c r="A36" s="80" t="s">
        <v>92</v>
      </c>
      <c r="B36" s="81" t="s">
        <v>93</v>
      </c>
      <c r="C36" s="86">
        <v>11</v>
      </c>
      <c r="D36" s="100">
        <v>614</v>
      </c>
      <c r="E36" s="113">
        <v>100</v>
      </c>
      <c r="F36" s="111">
        <v>96.1</v>
      </c>
      <c r="G36" s="83">
        <f>45.5+36.4</f>
        <v>81.900000000000006</v>
      </c>
      <c r="H36" s="103">
        <f>40.7+49.2</f>
        <v>89.9</v>
      </c>
      <c r="I36" s="109">
        <f>18.2+63.6</f>
        <v>81.8</v>
      </c>
      <c r="J36" s="111">
        <f>27.6+63.2</f>
        <v>90.800000000000011</v>
      </c>
      <c r="K36" s="83">
        <f>45.5+45.5</f>
        <v>91</v>
      </c>
      <c r="L36" s="103">
        <f>42.2+41</f>
        <v>83.2</v>
      </c>
      <c r="M36" s="109">
        <v>90.9</v>
      </c>
      <c r="N36" s="106">
        <v>68.099999999999994</v>
      </c>
    </row>
    <row r="37" spans="1:16" ht="105.75" customHeight="1" x14ac:dyDescent="0.25">
      <c r="A37" s="292" t="s">
        <v>45</v>
      </c>
      <c r="B37" s="292" t="s">
        <v>46</v>
      </c>
      <c r="C37" s="290" t="s">
        <v>191</v>
      </c>
      <c r="D37" s="284"/>
      <c r="E37" s="294" t="s">
        <v>13</v>
      </c>
      <c r="F37" s="295"/>
      <c r="G37" s="284" t="s">
        <v>14</v>
      </c>
      <c r="H37" s="284"/>
      <c r="I37" s="290" t="s">
        <v>15</v>
      </c>
      <c r="J37" s="291"/>
      <c r="K37" s="284" t="s">
        <v>175</v>
      </c>
      <c r="L37" s="284"/>
      <c r="M37" s="290" t="s">
        <v>47</v>
      </c>
      <c r="N37" s="291"/>
    </row>
    <row r="38" spans="1:16" x14ac:dyDescent="0.25">
      <c r="A38" s="293"/>
      <c r="B38" s="293"/>
      <c r="C38" s="34" t="s">
        <v>3</v>
      </c>
      <c r="D38" s="35" t="s">
        <v>17</v>
      </c>
      <c r="E38" s="112" t="s">
        <v>3</v>
      </c>
      <c r="F38" s="115" t="s">
        <v>17</v>
      </c>
      <c r="G38" s="35" t="s">
        <v>3</v>
      </c>
      <c r="H38" s="35" t="s">
        <v>17</v>
      </c>
      <c r="I38" s="34" t="s">
        <v>3</v>
      </c>
      <c r="J38" s="36" t="s">
        <v>17</v>
      </c>
      <c r="K38" s="35" t="s">
        <v>3</v>
      </c>
      <c r="L38" s="35" t="s">
        <v>17</v>
      </c>
      <c r="M38" s="34" t="s">
        <v>3</v>
      </c>
      <c r="N38" s="36" t="s">
        <v>17</v>
      </c>
    </row>
    <row r="39" spans="1:16" ht="180" x14ac:dyDescent="0.25">
      <c r="A39" s="87" t="s">
        <v>168</v>
      </c>
      <c r="B39" s="88" t="s">
        <v>52</v>
      </c>
      <c r="C39" s="239">
        <v>8</v>
      </c>
      <c r="D39" s="240">
        <v>2415</v>
      </c>
      <c r="E39" s="114">
        <v>100</v>
      </c>
      <c r="F39" s="126">
        <v>94.6</v>
      </c>
      <c r="G39" s="90">
        <f>37.5+50</f>
        <v>87.5</v>
      </c>
      <c r="H39" s="168">
        <f>40.5+49.4</f>
        <v>89.9</v>
      </c>
      <c r="I39" s="114">
        <f>12.5+87.5</f>
        <v>100</v>
      </c>
      <c r="J39" s="126">
        <f>29.8+60.5</f>
        <v>90.3</v>
      </c>
      <c r="K39" s="90">
        <f>37.5+50</f>
        <v>87.5</v>
      </c>
      <c r="L39" s="168">
        <f>43.8+38.4</f>
        <v>82.199999999999989</v>
      </c>
      <c r="M39" s="114">
        <v>50</v>
      </c>
      <c r="N39" s="118">
        <v>67.8</v>
      </c>
    </row>
    <row r="40" spans="1:16" ht="120" x14ac:dyDescent="0.25">
      <c r="A40" s="174" t="s">
        <v>94</v>
      </c>
      <c r="B40" s="175" t="s">
        <v>52</v>
      </c>
      <c r="C40" s="183">
        <v>12</v>
      </c>
      <c r="D40" s="178">
        <v>2415</v>
      </c>
      <c r="E40" s="203">
        <v>100</v>
      </c>
      <c r="F40" s="182">
        <v>94.6</v>
      </c>
      <c r="G40" s="203">
        <f>66.7+33.3</f>
        <v>100</v>
      </c>
      <c r="H40" s="179">
        <f>40.5+49.4</f>
        <v>89.9</v>
      </c>
      <c r="I40" s="203">
        <f>41.7+58.3</f>
        <v>100</v>
      </c>
      <c r="J40" s="182">
        <f>29.8+60.5</f>
        <v>90.3</v>
      </c>
      <c r="K40" s="177">
        <f>41.7+50</f>
        <v>91.7</v>
      </c>
      <c r="L40" s="179">
        <f>43.8+38.4</f>
        <v>82.199999999999989</v>
      </c>
      <c r="M40" s="203">
        <v>91.7</v>
      </c>
      <c r="N40" s="180">
        <v>67.8</v>
      </c>
    </row>
    <row r="41" spans="1:16" ht="120" x14ac:dyDescent="0.25">
      <c r="A41" s="80" t="s">
        <v>183</v>
      </c>
      <c r="B41" s="81" t="s">
        <v>52</v>
      </c>
      <c r="C41" s="82">
        <v>13</v>
      </c>
      <c r="D41" s="100">
        <v>2415</v>
      </c>
      <c r="E41" s="109">
        <v>100</v>
      </c>
      <c r="F41" s="111">
        <v>94.6</v>
      </c>
      <c r="G41" s="83">
        <f>7.7+84.6</f>
        <v>92.3</v>
      </c>
      <c r="H41" s="103">
        <f>40.5+49.4</f>
        <v>89.9</v>
      </c>
      <c r="I41" s="109">
        <f>7.7+61.5</f>
        <v>69.2</v>
      </c>
      <c r="J41" s="111">
        <f>29.8+60.5</f>
        <v>90.3</v>
      </c>
      <c r="K41" s="109">
        <f>30.8+46.2</f>
        <v>77</v>
      </c>
      <c r="L41" s="103">
        <f>43.8+38.4</f>
        <v>82.199999999999989</v>
      </c>
      <c r="M41" s="109">
        <v>46.2</v>
      </c>
      <c r="N41" s="106">
        <v>67.8</v>
      </c>
    </row>
    <row r="42" spans="1:16" ht="76.5" customHeight="1" x14ac:dyDescent="0.25">
      <c r="A42" s="292" t="s">
        <v>45</v>
      </c>
      <c r="B42" s="292" t="s">
        <v>46</v>
      </c>
      <c r="C42" s="290" t="s">
        <v>191</v>
      </c>
      <c r="D42" s="284"/>
      <c r="E42" s="294" t="s">
        <v>13</v>
      </c>
      <c r="F42" s="295"/>
      <c r="G42" s="284" t="s">
        <v>14</v>
      </c>
      <c r="H42" s="284"/>
      <c r="I42" s="290" t="s">
        <v>15</v>
      </c>
      <c r="J42" s="291"/>
      <c r="K42" s="284" t="s">
        <v>16</v>
      </c>
      <c r="L42" s="284"/>
      <c r="M42" s="290" t="s">
        <v>47</v>
      </c>
      <c r="N42" s="291"/>
    </row>
    <row r="43" spans="1:16" x14ac:dyDescent="0.25">
      <c r="A43" s="293"/>
      <c r="B43" s="293"/>
      <c r="C43" s="34" t="s">
        <v>3</v>
      </c>
      <c r="D43" s="35" t="s">
        <v>17</v>
      </c>
      <c r="E43" s="112" t="s">
        <v>3</v>
      </c>
      <c r="F43" s="115" t="s">
        <v>17</v>
      </c>
      <c r="G43" s="35" t="s">
        <v>3</v>
      </c>
      <c r="H43" s="35" t="s">
        <v>17</v>
      </c>
      <c r="I43" s="34" t="s">
        <v>3</v>
      </c>
      <c r="J43" s="36" t="s">
        <v>17</v>
      </c>
      <c r="K43" s="35" t="s">
        <v>3</v>
      </c>
      <c r="L43" s="35" t="s">
        <v>17</v>
      </c>
      <c r="M43" s="34" t="s">
        <v>3</v>
      </c>
      <c r="N43" s="36" t="s">
        <v>17</v>
      </c>
    </row>
    <row r="44" spans="1:16" ht="45" x14ac:dyDescent="0.25">
      <c r="A44" s="87" t="s">
        <v>95</v>
      </c>
      <c r="B44" s="88" t="s">
        <v>96</v>
      </c>
      <c r="C44" s="89">
        <v>11</v>
      </c>
      <c r="D44" s="99">
        <v>336</v>
      </c>
      <c r="E44" s="114">
        <v>90.9</v>
      </c>
      <c r="F44" s="110">
        <v>87.8</v>
      </c>
      <c r="G44" s="90">
        <f>80+10</f>
        <v>90</v>
      </c>
      <c r="H44" s="101">
        <f>53.2+38</f>
        <v>91.2</v>
      </c>
      <c r="I44" s="114">
        <f>70+30</f>
        <v>100</v>
      </c>
      <c r="J44" s="110">
        <f>41.7+50.5</f>
        <v>92.2</v>
      </c>
      <c r="K44" s="90">
        <f>100+0</f>
        <v>100</v>
      </c>
      <c r="L44" s="101">
        <f>56.6+31.5</f>
        <v>88.1</v>
      </c>
      <c r="M44" s="114">
        <v>90</v>
      </c>
      <c r="N44" s="118">
        <v>73.599999999999994</v>
      </c>
    </row>
    <row r="45" spans="1:16" ht="30.75" customHeight="1" x14ac:dyDescent="0.25">
      <c r="A45" s="76" t="s">
        <v>143</v>
      </c>
      <c r="B45" s="77" t="s">
        <v>121</v>
      </c>
      <c r="C45" s="84">
        <v>12</v>
      </c>
      <c r="D45" s="99">
        <v>1075</v>
      </c>
      <c r="E45" s="107">
        <v>100</v>
      </c>
      <c r="F45" s="110">
        <v>92.6</v>
      </c>
      <c r="G45" s="79">
        <f>66.7+33.3</f>
        <v>100</v>
      </c>
      <c r="H45" s="101">
        <f>55.4+37.7</f>
        <v>93.1</v>
      </c>
      <c r="I45" s="107">
        <f>58.3+41.7</f>
        <v>100</v>
      </c>
      <c r="J45" s="110">
        <f>42+52</f>
        <v>94</v>
      </c>
      <c r="K45" s="79">
        <f>41.7+16.7</f>
        <v>58.400000000000006</v>
      </c>
      <c r="L45" s="101">
        <f>46.5+39.3</f>
        <v>85.8</v>
      </c>
      <c r="M45" s="107">
        <v>91.7</v>
      </c>
      <c r="N45" s="105">
        <v>81.900000000000006</v>
      </c>
    </row>
    <row r="46" spans="1:16" x14ac:dyDescent="0.25">
      <c r="A46" s="76" t="s">
        <v>97</v>
      </c>
      <c r="B46" s="77" t="s">
        <v>98</v>
      </c>
      <c r="C46" s="78">
        <v>16</v>
      </c>
      <c r="D46" s="99">
        <v>617</v>
      </c>
      <c r="E46" s="107">
        <v>93.8</v>
      </c>
      <c r="F46" s="110">
        <v>92.9</v>
      </c>
      <c r="G46" s="79">
        <f>73.3+26.7</f>
        <v>100</v>
      </c>
      <c r="H46" s="101">
        <f>49.6+40.7</f>
        <v>90.300000000000011</v>
      </c>
      <c r="I46" s="107">
        <f>66.7+33.3</f>
        <v>100</v>
      </c>
      <c r="J46" s="110">
        <f>48.9+45.4</f>
        <v>94.3</v>
      </c>
      <c r="K46" s="79">
        <f>66.7+26.7</f>
        <v>93.4</v>
      </c>
      <c r="L46" s="101">
        <f>55.1+36.3</f>
        <v>91.4</v>
      </c>
      <c r="M46" s="107">
        <v>86.7</v>
      </c>
      <c r="N46" s="105">
        <v>74.7</v>
      </c>
    </row>
    <row r="47" spans="1:16" x14ac:dyDescent="0.25">
      <c r="A47" s="76" t="s">
        <v>142</v>
      </c>
      <c r="B47" s="77" t="s">
        <v>99</v>
      </c>
      <c r="C47" s="78">
        <v>19</v>
      </c>
      <c r="D47" s="99">
        <v>3475</v>
      </c>
      <c r="E47" s="107">
        <v>94.7</v>
      </c>
      <c r="F47" s="110">
        <v>94.8</v>
      </c>
      <c r="G47" s="79">
        <f>50+44.4</f>
        <v>94.4</v>
      </c>
      <c r="H47" s="101">
        <f>45.8+45.4</f>
        <v>91.199999999999989</v>
      </c>
      <c r="I47" s="107">
        <f>61.1+38.9</f>
        <v>100</v>
      </c>
      <c r="J47" s="110">
        <f>36.1+56.5</f>
        <v>92.6</v>
      </c>
      <c r="K47" s="79">
        <f>44.4+50</f>
        <v>94.4</v>
      </c>
      <c r="L47" s="101">
        <f>44.7+38.9</f>
        <v>83.6</v>
      </c>
      <c r="M47" s="107">
        <v>77.8</v>
      </c>
      <c r="N47" s="105">
        <v>75.7</v>
      </c>
    </row>
    <row r="48" spans="1:16" x14ac:dyDescent="0.25">
      <c r="A48" s="76" t="s">
        <v>100</v>
      </c>
      <c r="B48" s="77" t="s">
        <v>99</v>
      </c>
      <c r="C48" s="78">
        <v>42</v>
      </c>
      <c r="D48" s="99">
        <v>3475</v>
      </c>
      <c r="E48" s="107">
        <v>97.6</v>
      </c>
      <c r="F48" s="110">
        <v>94.8</v>
      </c>
      <c r="G48" s="79">
        <f>53.7+39</f>
        <v>92.7</v>
      </c>
      <c r="H48" s="179">
        <f>45.8+45.4</f>
        <v>91.199999999999989</v>
      </c>
      <c r="I48" s="107">
        <f>41.5+53.7</f>
        <v>95.2</v>
      </c>
      <c r="J48" s="182">
        <f>36.1+56.5</f>
        <v>92.6</v>
      </c>
      <c r="K48" s="79">
        <f>31.7+53.7</f>
        <v>85.4</v>
      </c>
      <c r="L48" s="179">
        <f>44.7+38.9</f>
        <v>83.6</v>
      </c>
      <c r="M48" s="107">
        <v>82.9</v>
      </c>
      <c r="N48" s="105">
        <v>75.7</v>
      </c>
    </row>
    <row r="49" spans="1:14" ht="30" x14ac:dyDescent="0.25">
      <c r="A49" s="76" t="s">
        <v>173</v>
      </c>
      <c r="B49" s="77" t="s">
        <v>123</v>
      </c>
      <c r="C49" s="78">
        <v>16</v>
      </c>
      <c r="D49" s="99">
        <v>1910</v>
      </c>
      <c r="E49" s="107">
        <v>100</v>
      </c>
      <c r="F49" s="110">
        <v>95</v>
      </c>
      <c r="G49" s="79">
        <f>37.5+62.5</f>
        <v>100</v>
      </c>
      <c r="H49" s="101">
        <f>41.8+45.9</f>
        <v>87.699999999999989</v>
      </c>
      <c r="I49" s="107">
        <f>50+43.8</f>
        <v>93.8</v>
      </c>
      <c r="J49" s="110">
        <f>30.5+59.3</f>
        <v>89.8</v>
      </c>
      <c r="K49" s="79">
        <f>81.2+18.8</f>
        <v>100</v>
      </c>
      <c r="L49" s="101">
        <f>38.2+37.4</f>
        <v>75.599999999999994</v>
      </c>
      <c r="M49" s="107">
        <v>93.8</v>
      </c>
      <c r="N49" s="105">
        <v>71.099999999999994</v>
      </c>
    </row>
    <row r="50" spans="1:14" x14ac:dyDescent="0.25">
      <c r="A50" s="76" t="s">
        <v>101</v>
      </c>
      <c r="B50" s="77" t="s">
        <v>102</v>
      </c>
      <c r="C50" s="78">
        <v>12</v>
      </c>
      <c r="D50" s="117">
        <v>1273</v>
      </c>
      <c r="E50" s="68">
        <v>91.7</v>
      </c>
      <c r="F50" s="110">
        <v>95.6</v>
      </c>
      <c r="G50" s="37">
        <f>63.6+27.3</f>
        <v>90.9</v>
      </c>
      <c r="H50" s="101">
        <f>52.2+42</f>
        <v>94.2</v>
      </c>
      <c r="I50" s="68">
        <f>36.4+63.6</f>
        <v>100</v>
      </c>
      <c r="J50" s="110">
        <f>38.5+55.4</f>
        <v>93.9</v>
      </c>
      <c r="K50" s="79">
        <f>81.8+9.1</f>
        <v>90.899999999999991</v>
      </c>
      <c r="L50" s="101">
        <f>44+41.6</f>
        <v>85.6</v>
      </c>
      <c r="M50" s="68">
        <v>81.8</v>
      </c>
      <c r="N50" s="105">
        <v>82.1</v>
      </c>
    </row>
    <row r="51" spans="1:14" ht="63" customHeight="1" x14ac:dyDescent="0.25">
      <c r="A51" s="174" t="s">
        <v>207</v>
      </c>
      <c r="B51" s="77" t="s">
        <v>103</v>
      </c>
      <c r="C51" s="78">
        <v>16</v>
      </c>
      <c r="D51" s="99">
        <v>2192</v>
      </c>
      <c r="E51" s="107">
        <v>93.8</v>
      </c>
      <c r="F51" s="110">
        <v>92.2</v>
      </c>
      <c r="G51" s="79">
        <f>40+60</f>
        <v>100</v>
      </c>
      <c r="H51" s="101">
        <f>47.1+43</f>
        <v>90.1</v>
      </c>
      <c r="I51" s="107">
        <f>46.7+53.3</f>
        <v>100</v>
      </c>
      <c r="J51" s="110">
        <f>31.1+58.1</f>
        <v>89.2</v>
      </c>
      <c r="K51" s="79">
        <f>53.3+33.3</f>
        <v>86.6</v>
      </c>
      <c r="L51" s="101">
        <f>44.4+39.7</f>
        <v>84.1</v>
      </c>
      <c r="M51" s="107">
        <v>73.3</v>
      </c>
      <c r="N51" s="105">
        <v>77.900000000000006</v>
      </c>
    </row>
    <row r="52" spans="1:14" ht="45" x14ac:dyDescent="0.25">
      <c r="A52" s="76" t="s">
        <v>104</v>
      </c>
      <c r="B52" s="77" t="s">
        <v>105</v>
      </c>
      <c r="C52" s="78">
        <v>40</v>
      </c>
      <c r="D52" s="178">
        <v>11424</v>
      </c>
      <c r="E52" s="107">
        <v>97.5</v>
      </c>
      <c r="F52" s="110">
        <v>92.1</v>
      </c>
      <c r="G52" s="79">
        <f>41+48.7</f>
        <v>89.7</v>
      </c>
      <c r="H52" s="101">
        <f>48.8+43.4</f>
        <v>92.199999999999989</v>
      </c>
      <c r="I52" s="107">
        <f>28.2+59</f>
        <v>87.2</v>
      </c>
      <c r="J52" s="110">
        <f>31.4+58.6</f>
        <v>90</v>
      </c>
      <c r="K52" s="79">
        <f>41+48.7</f>
        <v>89.7</v>
      </c>
      <c r="L52" s="101">
        <f>50.6+40.1</f>
        <v>90.7</v>
      </c>
      <c r="M52" s="107">
        <v>74.400000000000006</v>
      </c>
      <c r="N52" s="105">
        <v>76.400000000000006</v>
      </c>
    </row>
    <row r="53" spans="1:14" ht="45" x14ac:dyDescent="0.25">
      <c r="A53" s="174" t="s">
        <v>206</v>
      </c>
      <c r="B53" s="77" t="s">
        <v>106</v>
      </c>
      <c r="C53" s="78">
        <v>20</v>
      </c>
      <c r="D53" s="99">
        <v>2692</v>
      </c>
      <c r="E53" s="107">
        <v>100</v>
      </c>
      <c r="F53" s="110">
        <v>88.9</v>
      </c>
      <c r="G53" s="79">
        <f>70+30</f>
        <v>100</v>
      </c>
      <c r="H53" s="101">
        <f>48.9+42.4</f>
        <v>91.3</v>
      </c>
      <c r="I53" s="107">
        <f>30+70</f>
        <v>100</v>
      </c>
      <c r="J53" s="110">
        <f>34.7+55.1</f>
        <v>89.800000000000011</v>
      </c>
      <c r="K53" s="79">
        <f>65+30</f>
        <v>95</v>
      </c>
      <c r="L53" s="101">
        <f>53.4+37.1</f>
        <v>90.5</v>
      </c>
      <c r="M53" s="107">
        <v>95</v>
      </c>
      <c r="N53" s="105">
        <v>73.2</v>
      </c>
    </row>
    <row r="54" spans="1:14" s="173" customFormat="1" x14ac:dyDescent="0.25">
      <c r="A54" s="174" t="s">
        <v>205</v>
      </c>
      <c r="B54" s="175" t="s">
        <v>106</v>
      </c>
      <c r="C54" s="176">
        <v>6</v>
      </c>
      <c r="D54" s="178">
        <v>2692</v>
      </c>
      <c r="E54" s="181">
        <v>100</v>
      </c>
      <c r="F54" s="182">
        <v>88.9</v>
      </c>
      <c r="G54" s="177">
        <f>66.7+16.7</f>
        <v>83.4</v>
      </c>
      <c r="H54" s="179">
        <f>48.9+42.4</f>
        <v>91.3</v>
      </c>
      <c r="I54" s="181">
        <f>33+50</f>
        <v>83</v>
      </c>
      <c r="J54" s="182">
        <f>34.7+55.1</f>
        <v>89.800000000000011</v>
      </c>
      <c r="K54" s="177">
        <f>50+16.7</f>
        <v>66.7</v>
      </c>
      <c r="L54" s="179">
        <f>53.4+37.1</f>
        <v>90.5</v>
      </c>
      <c r="M54" s="181">
        <v>83.3</v>
      </c>
      <c r="N54" s="180">
        <v>73.2</v>
      </c>
    </row>
    <row r="55" spans="1:14" ht="45" x14ac:dyDescent="0.25">
      <c r="A55" s="76" t="s">
        <v>107</v>
      </c>
      <c r="B55" s="77" t="s">
        <v>108</v>
      </c>
      <c r="C55" s="78">
        <v>22</v>
      </c>
      <c r="D55" s="99">
        <v>506</v>
      </c>
      <c r="E55" s="107">
        <v>100</v>
      </c>
      <c r="F55" s="110">
        <v>95.8</v>
      </c>
      <c r="G55" s="79">
        <f>68.2+27.3</f>
        <v>95.5</v>
      </c>
      <c r="H55" s="101">
        <f>47.6+42.9</f>
        <v>90.5</v>
      </c>
      <c r="I55" s="107">
        <f>68.2+31.8</f>
        <v>100</v>
      </c>
      <c r="J55" s="110">
        <f>45.6+49.1</f>
        <v>94.7</v>
      </c>
      <c r="K55" s="79">
        <f>90.9+9.1</f>
        <v>100</v>
      </c>
      <c r="L55" s="101">
        <f>57.5+33.2</f>
        <v>90.7</v>
      </c>
      <c r="M55" s="107">
        <v>90.9</v>
      </c>
      <c r="N55" s="105">
        <v>75.7</v>
      </c>
    </row>
    <row r="56" spans="1:14" ht="90" x14ac:dyDescent="0.25">
      <c r="A56" s="80" t="s">
        <v>204</v>
      </c>
      <c r="B56" s="81" t="s">
        <v>109</v>
      </c>
      <c r="C56" s="82">
        <v>4</v>
      </c>
      <c r="D56" s="100">
        <v>499</v>
      </c>
      <c r="E56" s="109">
        <v>75</v>
      </c>
      <c r="F56" s="111">
        <v>92.4</v>
      </c>
      <c r="G56" s="83" t="s">
        <v>200</v>
      </c>
      <c r="H56" s="103">
        <f>57.9+36</f>
        <v>93.9</v>
      </c>
      <c r="I56" s="109" t="s">
        <v>200</v>
      </c>
      <c r="J56" s="111">
        <f>47.7+46.6</f>
        <v>94.300000000000011</v>
      </c>
      <c r="K56" s="83" t="s">
        <v>200</v>
      </c>
      <c r="L56" s="111">
        <f>53.6+34.1</f>
        <v>87.7</v>
      </c>
      <c r="M56" s="109" t="s">
        <v>200</v>
      </c>
      <c r="N56" s="106">
        <v>78.3</v>
      </c>
    </row>
    <row r="57" spans="1:14" ht="76.5" customHeight="1" x14ac:dyDescent="0.25">
      <c r="A57" s="292" t="s">
        <v>45</v>
      </c>
      <c r="B57" s="292" t="s">
        <v>46</v>
      </c>
      <c r="C57" s="290" t="s">
        <v>191</v>
      </c>
      <c r="D57" s="284"/>
      <c r="E57" s="294" t="s">
        <v>13</v>
      </c>
      <c r="F57" s="295"/>
      <c r="G57" s="284" t="s">
        <v>14</v>
      </c>
      <c r="H57" s="284"/>
      <c r="I57" s="290" t="s">
        <v>15</v>
      </c>
      <c r="J57" s="291"/>
      <c r="K57" s="284" t="s">
        <v>175</v>
      </c>
      <c r="L57" s="284"/>
      <c r="M57" s="290" t="s">
        <v>47</v>
      </c>
      <c r="N57" s="291"/>
    </row>
    <row r="58" spans="1:14" x14ac:dyDescent="0.25">
      <c r="A58" s="293"/>
      <c r="B58" s="293"/>
      <c r="C58" s="34" t="s">
        <v>3</v>
      </c>
      <c r="D58" s="35" t="s">
        <v>17</v>
      </c>
      <c r="E58" s="112" t="s">
        <v>3</v>
      </c>
      <c r="F58" s="115" t="s">
        <v>17</v>
      </c>
      <c r="G58" s="35" t="s">
        <v>3</v>
      </c>
      <c r="H58" s="35" t="s">
        <v>17</v>
      </c>
      <c r="I58" s="34" t="s">
        <v>3</v>
      </c>
      <c r="J58" s="36" t="s">
        <v>17</v>
      </c>
      <c r="K58" s="35" t="s">
        <v>3</v>
      </c>
      <c r="L58" s="35" t="s">
        <v>17</v>
      </c>
      <c r="M58" s="34" t="s">
        <v>3</v>
      </c>
      <c r="N58" s="36" t="s">
        <v>17</v>
      </c>
    </row>
    <row r="59" spans="1:14" ht="30" x14ac:dyDescent="0.25">
      <c r="A59" s="158" t="s">
        <v>174</v>
      </c>
      <c r="B59" s="77" t="s">
        <v>113</v>
      </c>
      <c r="C59" s="78">
        <v>27</v>
      </c>
      <c r="D59" s="99">
        <v>2811</v>
      </c>
      <c r="E59" s="68">
        <v>100</v>
      </c>
      <c r="F59" s="110">
        <v>94.3</v>
      </c>
      <c r="G59" s="79">
        <f>77.8+22.2</f>
        <v>100</v>
      </c>
      <c r="H59" s="101">
        <f>47.9+46.1</f>
        <v>94</v>
      </c>
      <c r="I59" s="107">
        <f>37+63</f>
        <v>100</v>
      </c>
      <c r="J59" s="110">
        <f>23.3+64.5</f>
        <v>87.8</v>
      </c>
      <c r="K59" s="79">
        <f>55.6+40.7</f>
        <v>96.300000000000011</v>
      </c>
      <c r="L59" s="101">
        <f>42.9+44.1</f>
        <v>87</v>
      </c>
      <c r="M59" s="107">
        <v>85.2</v>
      </c>
      <c r="N59" s="105">
        <v>82</v>
      </c>
    </row>
    <row r="60" spans="1:14" x14ac:dyDescent="0.25">
      <c r="A60" s="76" t="s">
        <v>110</v>
      </c>
      <c r="B60" s="77" t="s">
        <v>111</v>
      </c>
      <c r="C60" s="78">
        <v>27</v>
      </c>
      <c r="D60" s="99">
        <v>814</v>
      </c>
      <c r="E60" s="107">
        <v>92.6</v>
      </c>
      <c r="F60" s="110">
        <v>92.5</v>
      </c>
      <c r="G60" s="79">
        <f>44+48</f>
        <v>92</v>
      </c>
      <c r="H60" s="110">
        <f>43.4+46.9</f>
        <v>90.3</v>
      </c>
      <c r="I60" s="107">
        <f>28+48</f>
        <v>76</v>
      </c>
      <c r="J60" s="110">
        <f>28.7+56.4</f>
        <v>85.1</v>
      </c>
      <c r="K60" s="107">
        <f>48+36</f>
        <v>84</v>
      </c>
      <c r="L60" s="101">
        <f>42.9+40.1</f>
        <v>83</v>
      </c>
      <c r="M60" s="107">
        <v>52</v>
      </c>
      <c r="N60" s="105">
        <v>69.099999999999994</v>
      </c>
    </row>
    <row r="61" spans="1:14" x14ac:dyDescent="0.25">
      <c r="A61" s="76" t="s">
        <v>171</v>
      </c>
      <c r="B61" s="77" t="s">
        <v>123</v>
      </c>
      <c r="C61" s="78">
        <v>6</v>
      </c>
      <c r="D61" s="99">
        <v>1910</v>
      </c>
      <c r="E61" s="107">
        <v>100</v>
      </c>
      <c r="F61" s="110">
        <v>95</v>
      </c>
      <c r="G61" s="107">
        <f>50+33.3</f>
        <v>83.3</v>
      </c>
      <c r="H61" s="179">
        <f>41.8+45.9</f>
        <v>87.699999999999989</v>
      </c>
      <c r="I61" s="107">
        <f>50+33.3</f>
        <v>83.3</v>
      </c>
      <c r="J61" s="182">
        <f>30.5+59.3</f>
        <v>89.8</v>
      </c>
      <c r="K61" s="107">
        <f>50+33.3</f>
        <v>83.3</v>
      </c>
      <c r="L61" s="179">
        <f>38.2+37.4</f>
        <v>75.599999999999994</v>
      </c>
      <c r="M61" s="107">
        <v>33.299999999999997</v>
      </c>
      <c r="N61" s="180">
        <v>71.099999999999994</v>
      </c>
    </row>
    <row r="62" spans="1:14" ht="45" x14ac:dyDescent="0.25">
      <c r="A62" s="76" t="s">
        <v>172</v>
      </c>
      <c r="B62" s="77" t="s">
        <v>105</v>
      </c>
      <c r="C62" s="78">
        <v>51</v>
      </c>
      <c r="D62" s="178">
        <v>11424</v>
      </c>
      <c r="E62" s="107">
        <v>90.2</v>
      </c>
      <c r="F62" s="182">
        <v>92.1</v>
      </c>
      <c r="G62" s="79">
        <f>52.2+41.3</f>
        <v>93.5</v>
      </c>
      <c r="H62" s="179">
        <f>48.8+43.4</f>
        <v>92.199999999999989</v>
      </c>
      <c r="I62" s="107">
        <f>30.4+65.5</f>
        <v>95.9</v>
      </c>
      <c r="J62" s="182">
        <f>31.4+58.6</f>
        <v>90</v>
      </c>
      <c r="K62" s="79">
        <f>39.1+54.3</f>
        <v>93.4</v>
      </c>
      <c r="L62" s="179">
        <f>50.6+40.1</f>
        <v>90.7</v>
      </c>
      <c r="M62" s="107">
        <v>60.9</v>
      </c>
      <c r="N62" s="180">
        <v>76.400000000000006</v>
      </c>
    </row>
    <row r="63" spans="1:14" ht="90" x14ac:dyDescent="0.25">
      <c r="A63" s="76" t="s">
        <v>114</v>
      </c>
      <c r="B63" s="77" t="s">
        <v>115</v>
      </c>
      <c r="C63" s="84">
        <v>30</v>
      </c>
      <c r="D63" s="150">
        <v>724</v>
      </c>
      <c r="E63" s="107">
        <v>96.7</v>
      </c>
      <c r="F63" s="110">
        <v>93.2</v>
      </c>
      <c r="G63" s="107">
        <f>51.7+37.9</f>
        <v>89.6</v>
      </c>
      <c r="H63" s="101">
        <f>49.8+40.4</f>
        <v>90.199999999999989</v>
      </c>
      <c r="I63" s="107">
        <f>51.7+41.4</f>
        <v>93.1</v>
      </c>
      <c r="J63" s="110">
        <f>44.4+49.6</f>
        <v>94</v>
      </c>
      <c r="K63" s="79">
        <f>51.7+41.4</f>
        <v>93.1</v>
      </c>
      <c r="L63" s="110">
        <f>46.8+42.2</f>
        <v>89</v>
      </c>
      <c r="M63" s="107">
        <v>72.400000000000006</v>
      </c>
      <c r="N63" s="105">
        <v>75.3</v>
      </c>
    </row>
    <row r="64" spans="1:14" x14ac:dyDescent="0.25">
      <c r="A64" s="76" t="s">
        <v>116</v>
      </c>
      <c r="B64" s="77" t="s">
        <v>117</v>
      </c>
      <c r="C64" s="78">
        <v>23</v>
      </c>
      <c r="D64" s="99">
        <v>569</v>
      </c>
      <c r="E64" s="107">
        <v>95.7</v>
      </c>
      <c r="F64" s="110">
        <v>93.3</v>
      </c>
      <c r="G64" s="79">
        <f>81.8+9.1</f>
        <v>90.899999999999991</v>
      </c>
      <c r="H64" s="101">
        <f>59.1+33.5</f>
        <v>92.6</v>
      </c>
      <c r="I64" s="107">
        <f>72.7+22.7</f>
        <v>95.4</v>
      </c>
      <c r="J64" s="110">
        <f>49.3+46.1</f>
        <v>95.4</v>
      </c>
      <c r="K64" s="79">
        <f>59.1+27.3</f>
        <v>86.4</v>
      </c>
      <c r="L64" s="101">
        <f>48.8+40.1</f>
        <v>88.9</v>
      </c>
      <c r="M64" s="107">
        <v>86.4</v>
      </c>
      <c r="N64" s="105">
        <v>82.3</v>
      </c>
    </row>
    <row r="65" spans="1:14" x14ac:dyDescent="0.25">
      <c r="A65" s="76" t="s">
        <v>118</v>
      </c>
      <c r="B65" s="77" t="s">
        <v>119</v>
      </c>
      <c r="C65" s="78">
        <v>62</v>
      </c>
      <c r="D65" s="99">
        <v>2849</v>
      </c>
      <c r="E65" s="107">
        <v>96.8</v>
      </c>
      <c r="F65" s="110">
        <v>91.5</v>
      </c>
      <c r="G65" s="79">
        <f>65+31.7</f>
        <v>96.7</v>
      </c>
      <c r="H65" s="101">
        <f>56+37.8</f>
        <v>93.8</v>
      </c>
      <c r="I65" s="107">
        <f>45+50</f>
        <v>95</v>
      </c>
      <c r="J65" s="110">
        <f>43.6+50.3</f>
        <v>93.9</v>
      </c>
      <c r="K65" s="79">
        <f>66.7+26.7</f>
        <v>93.4</v>
      </c>
      <c r="L65" s="101">
        <f>51.2+39</f>
        <v>90.2</v>
      </c>
      <c r="M65" s="107">
        <v>88.3</v>
      </c>
      <c r="N65" s="105">
        <v>82.3</v>
      </c>
    </row>
    <row r="66" spans="1:14" ht="30" x14ac:dyDescent="0.25">
      <c r="A66" s="76" t="s">
        <v>120</v>
      </c>
      <c r="B66" s="91" t="s">
        <v>105</v>
      </c>
      <c r="C66" s="84">
        <v>98</v>
      </c>
      <c r="D66" s="178">
        <v>11424</v>
      </c>
      <c r="E66" s="107">
        <v>93.9</v>
      </c>
      <c r="F66" s="182">
        <v>92.1</v>
      </c>
      <c r="G66" s="79">
        <f>44.6+46.7</f>
        <v>91.300000000000011</v>
      </c>
      <c r="H66" s="179">
        <f>48.8+43.4</f>
        <v>92.199999999999989</v>
      </c>
      <c r="I66" s="107">
        <f>35.9+54.3</f>
        <v>90.199999999999989</v>
      </c>
      <c r="J66" s="182">
        <f>31.4+58.6</f>
        <v>90</v>
      </c>
      <c r="K66" s="79">
        <f>57.6+32.6</f>
        <v>90.2</v>
      </c>
      <c r="L66" s="179">
        <f>50.6+40.1</f>
        <v>90.7</v>
      </c>
      <c r="M66" s="107">
        <v>76.099999999999994</v>
      </c>
      <c r="N66" s="180">
        <v>76.400000000000006</v>
      </c>
    </row>
    <row r="67" spans="1:14" ht="60" x14ac:dyDescent="0.25">
      <c r="A67" s="76" t="s">
        <v>122</v>
      </c>
      <c r="B67" s="91" t="s">
        <v>123</v>
      </c>
      <c r="C67" s="84">
        <v>31</v>
      </c>
      <c r="D67" s="99">
        <v>1910</v>
      </c>
      <c r="E67" s="107">
        <v>96.8</v>
      </c>
      <c r="F67" s="110">
        <v>95</v>
      </c>
      <c r="G67" s="79">
        <f>40+33.3</f>
        <v>73.3</v>
      </c>
      <c r="H67" s="179">
        <f>41.8+45.9</f>
        <v>87.699999999999989</v>
      </c>
      <c r="I67" s="107">
        <f>6.7+66.7</f>
        <v>73.400000000000006</v>
      </c>
      <c r="J67" s="182">
        <f>30.5+59.3</f>
        <v>89.8</v>
      </c>
      <c r="K67" s="79">
        <f>50+43.3</f>
        <v>93.3</v>
      </c>
      <c r="L67" s="179">
        <f>38.2+37.4</f>
        <v>75.599999999999994</v>
      </c>
      <c r="M67" s="107">
        <v>70</v>
      </c>
      <c r="N67" s="180">
        <v>71.099999999999994</v>
      </c>
    </row>
    <row r="68" spans="1:14" ht="60" x14ac:dyDescent="0.25">
      <c r="A68" s="80" t="s">
        <v>166</v>
      </c>
      <c r="B68" s="81" t="s">
        <v>161</v>
      </c>
      <c r="C68" s="82">
        <v>18</v>
      </c>
      <c r="D68" s="100">
        <v>531</v>
      </c>
      <c r="E68" s="109">
        <v>100</v>
      </c>
      <c r="F68" s="111">
        <v>87</v>
      </c>
      <c r="G68" s="83">
        <f>33.3+50</f>
        <v>83.3</v>
      </c>
      <c r="H68" s="103">
        <f>38.3+45.7</f>
        <v>84</v>
      </c>
      <c r="I68" s="109">
        <f>44.4+50</f>
        <v>94.4</v>
      </c>
      <c r="J68" s="111">
        <f>34+54.3</f>
        <v>88.3</v>
      </c>
      <c r="K68" s="83">
        <f>77.8+16.7</f>
        <v>94.5</v>
      </c>
      <c r="L68" s="103">
        <f>52.6+37.2</f>
        <v>89.800000000000011</v>
      </c>
      <c r="M68" s="109">
        <v>66.7</v>
      </c>
      <c r="N68" s="106">
        <v>63.2</v>
      </c>
    </row>
    <row r="69" spans="1:14" ht="76.5" customHeight="1" x14ac:dyDescent="0.25">
      <c r="A69" s="292" t="s">
        <v>45</v>
      </c>
      <c r="B69" s="292" t="s">
        <v>46</v>
      </c>
      <c r="C69" s="290" t="s">
        <v>191</v>
      </c>
      <c r="D69" s="284"/>
      <c r="E69" s="294" t="s">
        <v>13</v>
      </c>
      <c r="F69" s="295"/>
      <c r="G69" s="284" t="s">
        <v>14</v>
      </c>
      <c r="H69" s="284"/>
      <c r="I69" s="290" t="s">
        <v>15</v>
      </c>
      <c r="J69" s="291"/>
      <c r="K69" s="284" t="s">
        <v>175</v>
      </c>
      <c r="L69" s="284"/>
      <c r="M69" s="290" t="s">
        <v>47</v>
      </c>
      <c r="N69" s="291"/>
    </row>
    <row r="70" spans="1:14" x14ac:dyDescent="0.25">
      <c r="A70" s="293"/>
      <c r="B70" s="293"/>
      <c r="C70" s="34" t="s">
        <v>3</v>
      </c>
      <c r="D70" s="35" t="s">
        <v>17</v>
      </c>
      <c r="E70" s="112" t="s">
        <v>3</v>
      </c>
      <c r="F70" s="115" t="s">
        <v>17</v>
      </c>
      <c r="G70" s="35" t="s">
        <v>3</v>
      </c>
      <c r="H70" s="35" t="s">
        <v>17</v>
      </c>
      <c r="I70" s="34" t="s">
        <v>3</v>
      </c>
      <c r="J70" s="36" t="s">
        <v>17</v>
      </c>
      <c r="K70" s="35" t="s">
        <v>3</v>
      </c>
      <c r="L70" s="35" t="s">
        <v>17</v>
      </c>
      <c r="M70" s="34" t="s">
        <v>3</v>
      </c>
      <c r="N70" s="36" t="s">
        <v>17</v>
      </c>
    </row>
    <row r="71" spans="1:14" ht="28.5" customHeight="1" x14ac:dyDescent="0.25">
      <c r="A71" s="87" t="s">
        <v>162</v>
      </c>
      <c r="B71" s="88" t="s">
        <v>124</v>
      </c>
      <c r="C71" s="78">
        <v>24</v>
      </c>
      <c r="D71" s="99">
        <v>1007</v>
      </c>
      <c r="E71" s="107">
        <v>95.8</v>
      </c>
      <c r="F71" s="110">
        <v>85.8</v>
      </c>
      <c r="G71" s="79">
        <f>47.8+47.8</f>
        <v>95.6</v>
      </c>
      <c r="H71" s="101">
        <f>51.2+42.1</f>
        <v>93.300000000000011</v>
      </c>
      <c r="I71" s="107">
        <f>56.5+34.8</f>
        <v>91.3</v>
      </c>
      <c r="J71" s="110">
        <f>40.3+53.6</f>
        <v>93.9</v>
      </c>
      <c r="K71" s="79">
        <f>69.6+30.4</f>
        <v>100</v>
      </c>
      <c r="L71" s="101">
        <f>57.3+36.2</f>
        <v>93.5</v>
      </c>
      <c r="M71" s="107">
        <v>82.6</v>
      </c>
      <c r="N71" s="105">
        <v>77.2</v>
      </c>
    </row>
    <row r="72" spans="1:14" ht="30" x14ac:dyDescent="0.25">
      <c r="A72" s="174" t="s">
        <v>208</v>
      </c>
      <c r="B72" s="175" t="s">
        <v>112</v>
      </c>
      <c r="C72" s="78">
        <v>3</v>
      </c>
      <c r="D72" s="99">
        <v>538</v>
      </c>
      <c r="E72" s="107">
        <v>100</v>
      </c>
      <c r="F72" s="105">
        <v>94.2</v>
      </c>
      <c r="G72" s="79" t="s">
        <v>200</v>
      </c>
      <c r="H72" s="104">
        <f>52.3+40.8</f>
        <v>93.1</v>
      </c>
      <c r="I72" s="107" t="s">
        <v>200</v>
      </c>
      <c r="J72" s="105">
        <f>47.3+47.3</f>
        <v>94.6</v>
      </c>
      <c r="K72" s="79" t="s">
        <v>200</v>
      </c>
      <c r="L72" s="104">
        <f>54+35.1</f>
        <v>89.1</v>
      </c>
      <c r="M72" s="107" t="s">
        <v>200</v>
      </c>
      <c r="N72" s="105">
        <v>78.900000000000006</v>
      </c>
    </row>
    <row r="73" spans="1:14" ht="45" x14ac:dyDescent="0.25">
      <c r="A73" s="174" t="s">
        <v>125</v>
      </c>
      <c r="B73" s="175" t="s">
        <v>126</v>
      </c>
      <c r="C73" s="84">
        <v>25</v>
      </c>
      <c r="D73" s="99">
        <v>1066</v>
      </c>
      <c r="E73" s="107">
        <v>92</v>
      </c>
      <c r="F73" s="110">
        <v>86</v>
      </c>
      <c r="G73" s="79">
        <f>43.5+47.8</f>
        <v>91.3</v>
      </c>
      <c r="H73" s="101">
        <f>35.8+45.1</f>
        <v>80.900000000000006</v>
      </c>
      <c r="I73" s="68">
        <f>47.8+52.2</f>
        <v>100</v>
      </c>
      <c r="J73" s="208">
        <f>33.3+52</f>
        <v>85.3</v>
      </c>
      <c r="K73" s="79">
        <f>60.9+39.1</f>
        <v>100</v>
      </c>
      <c r="L73" s="101">
        <f>42.1+39.4</f>
        <v>81.5</v>
      </c>
      <c r="M73" s="107">
        <v>91.3</v>
      </c>
      <c r="N73" s="105">
        <v>66.400000000000006</v>
      </c>
    </row>
    <row r="74" spans="1:14" ht="30" x14ac:dyDescent="0.25">
      <c r="A74" s="174" t="s">
        <v>127</v>
      </c>
      <c r="B74" s="175" t="s">
        <v>128</v>
      </c>
      <c r="C74" s="78">
        <v>73</v>
      </c>
      <c r="D74" s="150">
        <v>2085</v>
      </c>
      <c r="E74" s="107">
        <v>95.9</v>
      </c>
      <c r="F74" s="110">
        <v>90.7</v>
      </c>
      <c r="G74" s="107">
        <f>55.7+35.7</f>
        <v>91.4</v>
      </c>
      <c r="H74" s="110">
        <f>46.4+44.4</f>
        <v>90.8</v>
      </c>
      <c r="I74" s="107">
        <f>55.7+40</f>
        <v>95.7</v>
      </c>
      <c r="J74" s="110">
        <f>38.8+53</f>
        <v>91.8</v>
      </c>
      <c r="K74" s="107">
        <f>61.4+35.7</f>
        <v>97.1</v>
      </c>
      <c r="L74" s="110">
        <f>53.5+37.8</f>
        <v>91.3</v>
      </c>
      <c r="M74" s="107">
        <v>70</v>
      </c>
      <c r="N74" s="105">
        <v>69.7</v>
      </c>
    </row>
    <row r="75" spans="1:14" ht="75" x14ac:dyDescent="0.25">
      <c r="A75" s="174" t="s">
        <v>129</v>
      </c>
      <c r="B75" s="175" t="s">
        <v>130</v>
      </c>
      <c r="C75" s="78">
        <v>56</v>
      </c>
      <c r="D75" s="99">
        <v>2262</v>
      </c>
      <c r="E75" s="107">
        <v>96.4</v>
      </c>
      <c r="F75" s="110">
        <v>90.5</v>
      </c>
      <c r="G75" s="79">
        <f>51.9+38.9</f>
        <v>90.8</v>
      </c>
      <c r="H75" s="101">
        <f>49.6+42</f>
        <v>91.6</v>
      </c>
      <c r="I75" s="107">
        <f>46.3+46.3</f>
        <v>92.6</v>
      </c>
      <c r="J75" s="110">
        <f>39.1+54.3</f>
        <v>93.4</v>
      </c>
      <c r="K75" s="79">
        <f>63+27.8</f>
        <v>90.8</v>
      </c>
      <c r="L75" s="101">
        <f>50.8+39.2</f>
        <v>90</v>
      </c>
      <c r="M75" s="107">
        <v>75.900000000000006</v>
      </c>
      <c r="N75" s="105">
        <v>78.599999999999994</v>
      </c>
    </row>
    <row r="76" spans="1:14" ht="45" x14ac:dyDescent="0.25">
      <c r="A76" s="174" t="s">
        <v>131</v>
      </c>
      <c r="B76" s="175" t="s">
        <v>132</v>
      </c>
      <c r="C76" s="78">
        <v>5</v>
      </c>
      <c r="D76" s="99">
        <v>494</v>
      </c>
      <c r="E76" s="107">
        <v>100</v>
      </c>
      <c r="F76" s="110">
        <v>90.9</v>
      </c>
      <c r="G76" s="79">
        <f>0+40</f>
        <v>40</v>
      </c>
      <c r="H76" s="101">
        <f>26.9+48.3</f>
        <v>75.199999999999989</v>
      </c>
      <c r="I76" s="107">
        <f>0+80</f>
        <v>80</v>
      </c>
      <c r="J76" s="110">
        <f>25.2+55.5</f>
        <v>80.7</v>
      </c>
      <c r="K76" s="79">
        <f>40+60</f>
        <v>100</v>
      </c>
      <c r="L76" s="101">
        <f>37.2+45.9</f>
        <v>83.1</v>
      </c>
      <c r="M76" s="107">
        <v>80</v>
      </c>
      <c r="N76" s="105">
        <v>68.2</v>
      </c>
    </row>
    <row r="77" spans="1:14" ht="45" x14ac:dyDescent="0.25">
      <c r="A77" s="174" t="s">
        <v>214</v>
      </c>
      <c r="B77" s="175" t="s">
        <v>133</v>
      </c>
      <c r="C77" s="78">
        <v>12</v>
      </c>
      <c r="D77" s="99">
        <v>485</v>
      </c>
      <c r="E77" s="107">
        <v>100</v>
      </c>
      <c r="F77" s="110">
        <v>95.5</v>
      </c>
      <c r="G77" s="79">
        <f>41.7+50</f>
        <v>91.7</v>
      </c>
      <c r="H77" s="101">
        <f>44.9+46.9</f>
        <v>91.8</v>
      </c>
      <c r="I77" s="107">
        <f>8.3+91.7</f>
        <v>100</v>
      </c>
      <c r="J77" s="110">
        <f>23.8+67.8</f>
        <v>91.6</v>
      </c>
      <c r="K77" s="79">
        <f>66.7+25</f>
        <v>91.7</v>
      </c>
      <c r="L77" s="101">
        <f>49.2+37.1</f>
        <v>86.300000000000011</v>
      </c>
      <c r="M77" s="107">
        <v>83.3</v>
      </c>
      <c r="N77" s="105">
        <v>78</v>
      </c>
    </row>
    <row r="78" spans="1:14" s="173" customFormat="1" ht="45" x14ac:dyDescent="0.25">
      <c r="A78" s="174" t="s">
        <v>210</v>
      </c>
      <c r="B78" s="175" t="s">
        <v>209</v>
      </c>
      <c r="C78" s="176">
        <v>2</v>
      </c>
      <c r="D78" s="178">
        <v>1108</v>
      </c>
      <c r="E78" s="203">
        <v>100</v>
      </c>
      <c r="F78" s="182">
        <v>95.1</v>
      </c>
      <c r="G78" s="177" t="s">
        <v>200</v>
      </c>
      <c r="H78" s="179">
        <f>46.7+43.1</f>
        <v>89.800000000000011</v>
      </c>
      <c r="I78" s="203" t="s">
        <v>200</v>
      </c>
      <c r="J78" s="182">
        <f>40.6+54.2</f>
        <v>94.800000000000011</v>
      </c>
      <c r="K78" s="177" t="s">
        <v>200</v>
      </c>
      <c r="L78" s="179">
        <f>52+39.1</f>
        <v>91.1</v>
      </c>
      <c r="M78" s="203" t="s">
        <v>200</v>
      </c>
      <c r="N78" s="180">
        <v>73.900000000000006</v>
      </c>
    </row>
    <row r="79" spans="1:14" x14ac:dyDescent="0.25">
      <c r="A79" s="174" t="s">
        <v>134</v>
      </c>
      <c r="B79" s="175" t="s">
        <v>135</v>
      </c>
      <c r="C79" s="78">
        <v>21</v>
      </c>
      <c r="D79" s="99">
        <v>1381</v>
      </c>
      <c r="E79" s="107">
        <v>95.2</v>
      </c>
      <c r="F79" s="110">
        <v>94.8</v>
      </c>
      <c r="G79" s="79">
        <f>85+15</f>
        <v>100</v>
      </c>
      <c r="H79" s="101">
        <f>51.6+40.6</f>
        <v>92.2</v>
      </c>
      <c r="I79" s="107">
        <f>70+25</f>
        <v>95</v>
      </c>
      <c r="J79" s="110">
        <f>42.9+48.7</f>
        <v>91.6</v>
      </c>
      <c r="K79" s="79">
        <f>85+15</f>
        <v>100</v>
      </c>
      <c r="L79" s="101">
        <f>56.4+33.2</f>
        <v>89.6</v>
      </c>
      <c r="M79" s="107">
        <v>90</v>
      </c>
      <c r="N79" s="105">
        <v>75.099999999999994</v>
      </c>
    </row>
    <row r="80" spans="1:14" ht="18.75" customHeight="1" x14ac:dyDescent="0.25">
      <c r="A80" s="297" t="s">
        <v>165</v>
      </c>
      <c r="B80" s="174" t="s">
        <v>164</v>
      </c>
      <c r="C80" s="91">
        <v>10</v>
      </c>
      <c r="D80" s="99">
        <v>1318</v>
      </c>
      <c r="E80" s="68">
        <v>100</v>
      </c>
      <c r="F80" s="105">
        <v>91</v>
      </c>
      <c r="G80" s="68">
        <f>90+10</f>
        <v>100</v>
      </c>
      <c r="H80" s="104">
        <f>52.1+38.9</f>
        <v>91</v>
      </c>
      <c r="I80" s="68">
        <f>70+30</f>
        <v>100</v>
      </c>
      <c r="J80" s="105">
        <f>47.6+45.8</f>
        <v>93.4</v>
      </c>
      <c r="K80" s="68">
        <f>80+20</f>
        <v>100</v>
      </c>
      <c r="L80" s="104">
        <f>64.1+29.2</f>
        <v>93.3</v>
      </c>
      <c r="M80" s="68">
        <v>100</v>
      </c>
      <c r="N80" s="105">
        <v>79.400000000000006</v>
      </c>
    </row>
    <row r="81" spans="1:15" ht="18.75" customHeight="1" x14ac:dyDescent="0.25">
      <c r="A81" s="297"/>
      <c r="B81" s="174" t="s">
        <v>163</v>
      </c>
      <c r="C81" s="91">
        <v>19</v>
      </c>
      <c r="D81" s="99">
        <v>1128</v>
      </c>
      <c r="E81" s="68">
        <v>84.2</v>
      </c>
      <c r="F81" s="105">
        <v>87.9</v>
      </c>
      <c r="G81" s="68">
        <f>56.3+25</f>
        <v>81.3</v>
      </c>
      <c r="H81" s="104">
        <f>56.1+36.4</f>
        <v>92.5</v>
      </c>
      <c r="I81" s="68">
        <f>56.3+37.5</f>
        <v>93.8</v>
      </c>
      <c r="J81" s="105">
        <f>48.3+45.9</f>
        <v>94.199999999999989</v>
      </c>
      <c r="K81" s="68">
        <f>56.3+37.5</f>
        <v>93.8</v>
      </c>
      <c r="L81" s="104">
        <f>58.2+34.5</f>
        <v>92.7</v>
      </c>
      <c r="M81" s="68">
        <v>93.8</v>
      </c>
      <c r="N81" s="105">
        <v>81.599999999999994</v>
      </c>
    </row>
    <row r="82" spans="1:15" s="173" customFormat="1" ht="30" x14ac:dyDescent="0.25">
      <c r="A82" s="204" t="s">
        <v>167</v>
      </c>
      <c r="B82" s="175" t="s">
        <v>136</v>
      </c>
      <c r="C82" s="176">
        <v>49</v>
      </c>
      <c r="D82" s="178">
        <v>706</v>
      </c>
      <c r="E82" s="202">
        <v>95.9</v>
      </c>
      <c r="F82" s="180">
        <v>93.3</v>
      </c>
      <c r="G82" s="177">
        <f>51.1+38.3</f>
        <v>89.4</v>
      </c>
      <c r="H82" s="104">
        <f>38.4+48.9</f>
        <v>87.3</v>
      </c>
      <c r="I82" s="202">
        <f>44.7+48.9</f>
        <v>93.6</v>
      </c>
      <c r="J82" s="180">
        <f>31.1+59.5</f>
        <v>90.6</v>
      </c>
      <c r="K82" s="177">
        <f>53.2+36.2</f>
        <v>89.4</v>
      </c>
      <c r="L82" s="104">
        <f>52.4+36.4</f>
        <v>88.8</v>
      </c>
      <c r="M82" s="202">
        <v>70.2</v>
      </c>
      <c r="N82" s="180">
        <v>65.099999999999994</v>
      </c>
    </row>
    <row r="83" spans="1:15" ht="60" x14ac:dyDescent="0.25">
      <c r="A83" s="234" t="s">
        <v>203</v>
      </c>
      <c r="B83" s="81" t="s">
        <v>202</v>
      </c>
      <c r="C83" s="82">
        <v>8</v>
      </c>
      <c r="D83" s="151">
        <v>639</v>
      </c>
      <c r="E83" s="109">
        <v>100</v>
      </c>
      <c r="F83" s="111">
        <v>96.2</v>
      </c>
      <c r="G83" s="83">
        <f>12.5+75</f>
        <v>87.5</v>
      </c>
      <c r="H83" s="103">
        <f>45.5+46.5</f>
        <v>92</v>
      </c>
      <c r="I83" s="109">
        <f>12.5+75</f>
        <v>87.5</v>
      </c>
      <c r="J83" s="111">
        <f>35.9+55.4</f>
        <v>91.3</v>
      </c>
      <c r="K83" s="83">
        <f>62.5+37.5</f>
        <v>100</v>
      </c>
      <c r="L83" s="103">
        <f>44.9+38.2</f>
        <v>83.1</v>
      </c>
      <c r="M83" s="109">
        <v>75</v>
      </c>
      <c r="N83" s="106">
        <v>76.400000000000006</v>
      </c>
      <c r="O83" s="131"/>
    </row>
    <row r="84" spans="1:15" ht="76.5" customHeight="1" x14ac:dyDescent="0.25">
      <c r="A84" s="292" t="s">
        <v>45</v>
      </c>
      <c r="B84" s="292" t="s">
        <v>46</v>
      </c>
      <c r="C84" s="290" t="s">
        <v>191</v>
      </c>
      <c r="D84" s="284"/>
      <c r="E84" s="294" t="s">
        <v>13</v>
      </c>
      <c r="F84" s="295"/>
      <c r="G84" s="284" t="s">
        <v>14</v>
      </c>
      <c r="H84" s="284"/>
      <c r="I84" s="290" t="s">
        <v>15</v>
      </c>
      <c r="J84" s="291"/>
      <c r="K84" s="284" t="s">
        <v>175</v>
      </c>
      <c r="L84" s="284"/>
      <c r="M84" s="290" t="s">
        <v>47</v>
      </c>
      <c r="N84" s="291"/>
    </row>
    <row r="85" spans="1:15" x14ac:dyDescent="0.25">
      <c r="A85" s="293"/>
      <c r="B85" s="293"/>
      <c r="C85" s="34" t="s">
        <v>3</v>
      </c>
      <c r="D85" s="35" t="s">
        <v>17</v>
      </c>
      <c r="E85" s="112" t="s">
        <v>3</v>
      </c>
      <c r="F85" s="115" t="s">
        <v>17</v>
      </c>
      <c r="G85" s="35" t="s">
        <v>3</v>
      </c>
      <c r="H85" s="35" t="s">
        <v>17</v>
      </c>
      <c r="I85" s="34" t="s">
        <v>3</v>
      </c>
      <c r="J85" s="36" t="s">
        <v>17</v>
      </c>
      <c r="K85" s="35" t="s">
        <v>3</v>
      </c>
      <c r="L85" s="35" t="s">
        <v>17</v>
      </c>
      <c r="M85" s="34" t="s">
        <v>3</v>
      </c>
      <c r="N85" s="36" t="s">
        <v>17</v>
      </c>
    </row>
    <row r="86" spans="1:15" ht="30" x14ac:dyDescent="0.25">
      <c r="A86" s="92" t="s">
        <v>222</v>
      </c>
      <c r="B86" s="88" t="s">
        <v>137</v>
      </c>
      <c r="C86" s="89">
        <v>50</v>
      </c>
      <c r="D86" s="99">
        <v>4212</v>
      </c>
      <c r="E86" s="107">
        <v>96</v>
      </c>
      <c r="F86" s="110">
        <v>95</v>
      </c>
      <c r="G86" s="79">
        <f>41.7+47.9</f>
        <v>89.6</v>
      </c>
      <c r="H86" s="101">
        <f>45.1+47.6</f>
        <v>92.7</v>
      </c>
      <c r="I86" s="68">
        <f>14.6+75</f>
        <v>89.6</v>
      </c>
      <c r="J86" s="110">
        <f>24.9+62.5</f>
        <v>87.4</v>
      </c>
      <c r="K86" s="79">
        <f>31.3+60.4</f>
        <v>91.7</v>
      </c>
      <c r="L86" s="101">
        <f>34.4+41.3</f>
        <v>75.699999999999989</v>
      </c>
      <c r="M86" s="114">
        <v>58.3</v>
      </c>
      <c r="N86" s="118">
        <v>70.900000000000006</v>
      </c>
    </row>
    <row r="87" spans="1:15" x14ac:dyDescent="0.25">
      <c r="A87" s="93" t="s">
        <v>138</v>
      </c>
      <c r="B87" s="77" t="s">
        <v>137</v>
      </c>
      <c r="C87" s="84">
        <v>42</v>
      </c>
      <c r="D87" s="178">
        <v>4212</v>
      </c>
      <c r="E87" s="107">
        <v>100</v>
      </c>
      <c r="F87" s="182">
        <v>95</v>
      </c>
      <c r="G87" s="79">
        <f>38.1+50</f>
        <v>88.1</v>
      </c>
      <c r="H87" s="179">
        <f>45.1+47.6</f>
        <v>92.7</v>
      </c>
      <c r="I87" s="107">
        <f>28.6+61.9</f>
        <v>90.5</v>
      </c>
      <c r="J87" s="182">
        <f>24.9+62.5</f>
        <v>87.4</v>
      </c>
      <c r="K87" s="79">
        <f>31+35.7</f>
        <v>66.7</v>
      </c>
      <c r="L87" s="179">
        <f>34.4+41.3</f>
        <v>75.699999999999989</v>
      </c>
      <c r="M87" s="107">
        <v>73.8</v>
      </c>
      <c r="N87" s="180">
        <v>70.900000000000006</v>
      </c>
    </row>
    <row r="88" spans="1:15" x14ac:dyDescent="0.25">
      <c r="A88" s="76" t="s">
        <v>30</v>
      </c>
      <c r="B88" s="77" t="s">
        <v>139</v>
      </c>
      <c r="C88" s="84">
        <v>97</v>
      </c>
      <c r="D88" s="99">
        <v>9740</v>
      </c>
      <c r="E88" s="107">
        <v>95.9</v>
      </c>
      <c r="F88" s="110">
        <v>92.2</v>
      </c>
      <c r="G88" s="79">
        <f>58.1+33.3</f>
        <v>91.4</v>
      </c>
      <c r="H88" s="101">
        <f>46.1+44.8</f>
        <v>90.9</v>
      </c>
      <c r="I88" s="107">
        <f>32.3+57</f>
        <v>89.3</v>
      </c>
      <c r="J88" s="110">
        <f>27+58.1</f>
        <v>85.1</v>
      </c>
      <c r="K88" s="79">
        <f>45.2+38.7</f>
        <v>83.9</v>
      </c>
      <c r="L88" s="101">
        <f>37.4+40.7</f>
        <v>78.099999999999994</v>
      </c>
      <c r="M88" s="107">
        <v>71</v>
      </c>
      <c r="N88" s="110">
        <v>73.5</v>
      </c>
    </row>
    <row r="89" spans="1:15" x14ac:dyDescent="0.25">
      <c r="A89" s="94" t="s">
        <v>140</v>
      </c>
      <c r="B89" s="81" t="s">
        <v>141</v>
      </c>
      <c r="C89" s="86">
        <v>188</v>
      </c>
      <c r="D89" s="99">
        <v>9553</v>
      </c>
      <c r="E89" s="109">
        <v>97.3</v>
      </c>
      <c r="F89" s="110">
        <v>93.6</v>
      </c>
      <c r="G89" s="83">
        <f>19.1+63.4</f>
        <v>82.5</v>
      </c>
      <c r="H89" s="101">
        <f>26.1+56.1</f>
        <v>82.2</v>
      </c>
      <c r="I89" s="109">
        <f>9.3+53</f>
        <v>62.3</v>
      </c>
      <c r="J89" s="110">
        <f>14.5+57</f>
        <v>71.5</v>
      </c>
      <c r="K89" s="83">
        <f>14.8+29</f>
        <v>43.8</v>
      </c>
      <c r="L89" s="101">
        <f>21.8+37.5</f>
        <v>59.3</v>
      </c>
      <c r="M89" s="107">
        <v>51.9</v>
      </c>
      <c r="N89" s="106">
        <v>61</v>
      </c>
    </row>
    <row r="90" spans="1:15" x14ac:dyDescent="0.25">
      <c r="A90" s="22" t="s">
        <v>36</v>
      </c>
      <c r="B90" s="23"/>
      <c r="C90" s="6">
        <v>2795</v>
      </c>
      <c r="D90" s="139">
        <v>281095</v>
      </c>
      <c r="E90" s="47">
        <v>96.1</v>
      </c>
      <c r="F90" s="143">
        <v>93.7</v>
      </c>
      <c r="G90" s="27">
        <f>49.7+42.6</f>
        <v>92.300000000000011</v>
      </c>
      <c r="H90" s="143">
        <f>42.8+47.7</f>
        <v>90.5</v>
      </c>
      <c r="I90" s="27">
        <f>33.5+56.3</f>
        <v>89.8</v>
      </c>
      <c r="J90" s="143">
        <f>27.8+61</f>
        <v>88.8</v>
      </c>
      <c r="K90" s="53">
        <f>47.3+37.8</f>
        <v>85.1</v>
      </c>
      <c r="L90" s="143">
        <f>41.8+41.8</f>
        <v>83.6</v>
      </c>
      <c r="M90" s="116">
        <v>73.7</v>
      </c>
      <c r="N90" s="142">
        <v>72.599999999999994</v>
      </c>
    </row>
    <row r="91" spans="1:15" ht="15" customHeight="1" x14ac:dyDescent="0.25">
      <c r="A91" s="250" t="s">
        <v>169</v>
      </c>
      <c r="B91" s="250"/>
      <c r="C91" s="250"/>
      <c r="D91" s="250"/>
      <c r="E91" s="250"/>
      <c r="F91" s="250"/>
    </row>
    <row r="92" spans="1:15" x14ac:dyDescent="0.25">
      <c r="A92" s="206" t="s">
        <v>211</v>
      </c>
      <c r="B92" s="207"/>
      <c r="C92" s="207"/>
      <c r="D92" s="207"/>
      <c r="E92" s="207"/>
      <c r="F92" s="207"/>
      <c r="G92" s="207"/>
    </row>
    <row r="93" spans="1:15" x14ac:dyDescent="0.25">
      <c r="A93" s="289" t="s">
        <v>215</v>
      </c>
      <c r="B93" s="289"/>
      <c r="C93" s="289"/>
      <c r="D93" s="289"/>
      <c r="E93" s="289"/>
      <c r="F93" s="289"/>
      <c r="G93" s="289"/>
    </row>
    <row r="94" spans="1:15" x14ac:dyDescent="0.25">
      <c r="A94" s="289" t="s">
        <v>212</v>
      </c>
      <c r="B94" s="289"/>
      <c r="C94" s="289"/>
      <c r="D94" s="289"/>
      <c r="E94" s="289"/>
      <c r="F94" s="289"/>
      <c r="G94" s="289"/>
    </row>
  </sheetData>
  <mergeCells count="69">
    <mergeCell ref="G69:H69"/>
    <mergeCell ref="I69:J69"/>
    <mergeCell ref="K69:L69"/>
    <mergeCell ref="M69:N69"/>
    <mergeCell ref="I42:J42"/>
    <mergeCell ref="K42:L42"/>
    <mergeCell ref="M42:N42"/>
    <mergeCell ref="G42:H42"/>
    <mergeCell ref="G57:H57"/>
    <mergeCell ref="A57:A58"/>
    <mergeCell ref="B57:B58"/>
    <mergeCell ref="C57:D57"/>
    <mergeCell ref="E57:F57"/>
    <mergeCell ref="A80:A81"/>
    <mergeCell ref="A69:A70"/>
    <mergeCell ref="B69:B70"/>
    <mergeCell ref="C69:D69"/>
    <mergeCell ref="E69:F69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G3:H3"/>
    <mergeCell ref="B3:B4"/>
    <mergeCell ref="C3:D3"/>
    <mergeCell ref="E3:F3"/>
    <mergeCell ref="A37:A38"/>
    <mergeCell ref="B37:B38"/>
    <mergeCell ref="C37:D37"/>
    <mergeCell ref="E37:F37"/>
    <mergeCell ref="A42:A43"/>
    <mergeCell ref="C42:D42"/>
    <mergeCell ref="E42:F42"/>
    <mergeCell ref="B42:B43"/>
    <mergeCell ref="I24:J24"/>
    <mergeCell ref="A24:A25"/>
    <mergeCell ref="B24:B25"/>
    <mergeCell ref="C24:D24"/>
    <mergeCell ref="E24:F24"/>
    <mergeCell ref="K24:L24"/>
    <mergeCell ref="M24:N24"/>
    <mergeCell ref="G37:H37"/>
    <mergeCell ref="I57:J57"/>
    <mergeCell ref="K57:L57"/>
    <mergeCell ref="M57:N57"/>
    <mergeCell ref="M37:N37"/>
    <mergeCell ref="I37:J37"/>
    <mergeCell ref="K37:L37"/>
    <mergeCell ref="G24:H24"/>
    <mergeCell ref="A93:G93"/>
    <mergeCell ref="A94:G94"/>
    <mergeCell ref="I84:J84"/>
    <mergeCell ref="K84:L84"/>
    <mergeCell ref="M84:N84"/>
    <mergeCell ref="G84:H84"/>
    <mergeCell ref="A91:F91"/>
    <mergeCell ref="A84:A85"/>
    <mergeCell ref="B84:B85"/>
    <mergeCell ref="C84:D84"/>
    <mergeCell ref="E84:F84"/>
  </mergeCells>
  <pageMargins left="0.7" right="0.7" top="0.75" bottom="0.75" header="0.3" footer="0.3"/>
  <pageSetup paperSize="9" scale="77" fitToHeight="0" orientation="landscape" r:id="rId1"/>
  <rowBreaks count="7" manualBreakCount="7">
    <brk id="13" max="13" man="1"/>
    <brk id="23" max="13" man="1"/>
    <brk id="36" max="16383" man="1"/>
    <brk id="41" max="13" man="1"/>
    <brk id="56" max="16383" man="1"/>
    <brk id="68" max="16383" man="1"/>
    <brk id="83" max="16383" man="1"/>
  </rowBreaks>
  <ignoredErrors>
    <ignoredError sqref="H21 H19 J19 L19 H83 H61 J61 J63 J8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zoomScale="98" zoomScaleNormal="98" workbookViewId="0">
      <selection sqref="A1:I1"/>
    </sheetView>
  </sheetViews>
  <sheetFormatPr defaultRowHeight="15" x14ac:dyDescent="0.25"/>
  <cols>
    <col min="1" max="1" width="33.85546875" customWidth="1"/>
    <col min="2" max="9" width="15.7109375" customWidth="1"/>
  </cols>
  <sheetData>
    <row r="1" spans="1:11" x14ac:dyDescent="0.25">
      <c r="A1" s="253" t="s">
        <v>220</v>
      </c>
      <c r="B1" s="253"/>
      <c r="C1" s="253"/>
      <c r="D1" s="253"/>
      <c r="E1" s="253"/>
      <c r="F1" s="253"/>
      <c r="G1" s="253"/>
      <c r="H1" s="253"/>
      <c r="I1" s="253"/>
    </row>
    <row r="2" spans="1:11" ht="15.75" x14ac:dyDescent="0.25">
      <c r="A2" s="161"/>
      <c r="B2" s="302" t="s">
        <v>190</v>
      </c>
      <c r="C2" s="301"/>
      <c r="D2" s="302" t="s">
        <v>179</v>
      </c>
      <c r="E2" s="301"/>
      <c r="F2" s="298" t="s">
        <v>180</v>
      </c>
      <c r="G2" s="299"/>
      <c r="H2" s="300" t="s">
        <v>181</v>
      </c>
      <c r="I2" s="301"/>
      <c r="K2" s="26"/>
    </row>
    <row r="3" spans="1:11" ht="75.75" customHeight="1" x14ac:dyDescent="0.25">
      <c r="A3" s="46" t="s">
        <v>145</v>
      </c>
      <c r="B3" s="229" t="s">
        <v>146</v>
      </c>
      <c r="C3" s="231" t="s">
        <v>147</v>
      </c>
      <c r="D3" s="229" t="s">
        <v>146</v>
      </c>
      <c r="E3" s="231" t="s">
        <v>147</v>
      </c>
      <c r="F3" s="230" t="s">
        <v>148</v>
      </c>
      <c r="G3" s="231" t="s">
        <v>147</v>
      </c>
      <c r="H3" s="230" t="s">
        <v>148</v>
      </c>
      <c r="I3" s="231" t="s">
        <v>147</v>
      </c>
    </row>
    <row r="4" spans="1:11" x14ac:dyDescent="0.25">
      <c r="A4" s="21" t="s">
        <v>3</v>
      </c>
      <c r="B4" s="11">
        <v>41.4</v>
      </c>
      <c r="C4" s="31">
        <v>49.3</v>
      </c>
      <c r="D4" s="11">
        <v>39.78</v>
      </c>
      <c r="E4" s="11">
        <v>49.6</v>
      </c>
      <c r="F4" s="146">
        <v>41.01</v>
      </c>
      <c r="G4" s="11">
        <v>48.13</v>
      </c>
      <c r="H4" s="145">
        <v>36.6</v>
      </c>
      <c r="I4" s="13">
        <v>52.1</v>
      </c>
    </row>
    <row r="5" spans="1:11" x14ac:dyDescent="0.25">
      <c r="A5" s="198" t="s">
        <v>4</v>
      </c>
      <c r="B5" s="199">
        <v>33.5</v>
      </c>
      <c r="C5" s="200">
        <v>50.4</v>
      </c>
      <c r="D5" s="199">
        <v>30.8</v>
      </c>
      <c r="E5" s="200">
        <v>50.1</v>
      </c>
      <c r="F5" s="199">
        <v>28.6</v>
      </c>
      <c r="G5" s="200">
        <v>49.5</v>
      </c>
      <c r="H5" s="199">
        <v>26.2</v>
      </c>
      <c r="I5" s="200">
        <v>49.2</v>
      </c>
    </row>
    <row r="6" spans="1:11" x14ac:dyDescent="0.25">
      <c r="A6" s="303"/>
      <c r="B6" s="304"/>
      <c r="C6" s="304"/>
      <c r="D6" s="304"/>
      <c r="E6" s="304"/>
      <c r="F6" s="304"/>
      <c r="G6" s="304"/>
      <c r="H6" s="304"/>
      <c r="I6" s="305"/>
    </row>
    <row r="7" spans="1:11" ht="30" x14ac:dyDescent="0.25">
      <c r="A7" s="45" t="s">
        <v>149</v>
      </c>
      <c r="B7" s="229" t="s">
        <v>150</v>
      </c>
      <c r="C7" s="231" t="s">
        <v>151</v>
      </c>
      <c r="D7" s="229" t="s">
        <v>150</v>
      </c>
      <c r="E7" s="231" t="s">
        <v>151</v>
      </c>
      <c r="F7" s="229" t="s">
        <v>150</v>
      </c>
      <c r="G7" s="231" t="s">
        <v>151</v>
      </c>
      <c r="H7" s="229" t="s">
        <v>150</v>
      </c>
      <c r="I7" s="231" t="s">
        <v>151</v>
      </c>
    </row>
    <row r="8" spans="1:11" x14ac:dyDescent="0.25">
      <c r="A8" s="21" t="s">
        <v>3</v>
      </c>
      <c r="B8" s="1">
        <v>66.2</v>
      </c>
      <c r="C8" s="12">
        <v>33.799999999999997</v>
      </c>
      <c r="D8" s="11">
        <v>64.7</v>
      </c>
      <c r="E8" s="11">
        <v>35.299999999999997</v>
      </c>
      <c r="F8" s="145">
        <v>66.099999999999994</v>
      </c>
      <c r="G8" s="13">
        <v>33.9</v>
      </c>
      <c r="H8" s="1">
        <v>64.099999999999994</v>
      </c>
      <c r="I8" s="13">
        <v>35.9</v>
      </c>
    </row>
    <row r="9" spans="1:11" x14ac:dyDescent="0.25">
      <c r="A9" s="198" t="s">
        <v>4</v>
      </c>
      <c r="B9" s="199">
        <v>62.5</v>
      </c>
      <c r="C9" s="200">
        <v>37.5</v>
      </c>
      <c r="D9" s="199">
        <v>57.8</v>
      </c>
      <c r="E9" s="200">
        <v>42.2</v>
      </c>
      <c r="F9" s="199">
        <v>55.8</v>
      </c>
      <c r="G9" s="200">
        <v>44.2</v>
      </c>
      <c r="H9" s="199">
        <v>53.6</v>
      </c>
      <c r="I9" s="200">
        <v>46.4</v>
      </c>
    </row>
    <row r="10" spans="1:11" x14ac:dyDescent="0.25">
      <c r="A10" s="303"/>
      <c r="B10" s="304"/>
      <c r="C10" s="304"/>
      <c r="D10" s="304"/>
      <c r="E10" s="306"/>
      <c r="F10" s="304"/>
      <c r="G10" s="304"/>
      <c r="H10" s="304"/>
      <c r="I10" s="305"/>
    </row>
    <row r="11" spans="1:11" ht="30" x14ac:dyDescent="0.25">
      <c r="A11" s="45" t="s">
        <v>152</v>
      </c>
      <c r="B11" s="229" t="s">
        <v>153</v>
      </c>
      <c r="C11" s="231" t="s">
        <v>154</v>
      </c>
      <c r="D11" s="229" t="s">
        <v>153</v>
      </c>
      <c r="E11" s="231" t="s">
        <v>154</v>
      </c>
      <c r="F11" s="230" t="s">
        <v>155</v>
      </c>
      <c r="G11" s="231" t="s">
        <v>154</v>
      </c>
      <c r="H11" s="229" t="s">
        <v>153</v>
      </c>
      <c r="I11" s="231" t="s">
        <v>154</v>
      </c>
    </row>
    <row r="12" spans="1:11" x14ac:dyDescent="0.25">
      <c r="A12" s="21" t="s">
        <v>3</v>
      </c>
      <c r="B12" s="11">
        <v>51.6</v>
      </c>
      <c r="C12" s="11">
        <v>45.3</v>
      </c>
      <c r="D12" s="146">
        <v>52.06</v>
      </c>
      <c r="E12" s="11">
        <v>44.82</v>
      </c>
      <c r="F12" s="146">
        <v>54.39</v>
      </c>
      <c r="G12" s="31">
        <v>43.21</v>
      </c>
      <c r="H12" s="1">
        <v>53</v>
      </c>
      <c r="I12" s="13">
        <v>43.3</v>
      </c>
    </row>
    <row r="13" spans="1:11" x14ac:dyDescent="0.25">
      <c r="A13" s="198" t="s">
        <v>4</v>
      </c>
      <c r="B13" s="199">
        <v>41.3</v>
      </c>
      <c r="C13" s="200">
        <v>51.6</v>
      </c>
      <c r="D13" s="199">
        <v>40.9</v>
      </c>
      <c r="E13" s="200">
        <v>52.4</v>
      </c>
      <c r="F13" s="199">
        <v>42.5</v>
      </c>
      <c r="G13" s="200">
        <v>50.9</v>
      </c>
      <c r="H13" s="199">
        <v>41.5</v>
      </c>
      <c r="I13" s="200">
        <v>50.9</v>
      </c>
    </row>
    <row r="14" spans="1:11" x14ac:dyDescent="0.25">
      <c r="A14" s="303"/>
      <c r="B14" s="304"/>
      <c r="C14" s="304"/>
      <c r="D14" s="304"/>
      <c r="E14" s="304"/>
      <c r="F14" s="304"/>
      <c r="G14" s="304"/>
      <c r="H14" s="304"/>
      <c r="I14" s="305"/>
    </row>
    <row r="15" spans="1:11" ht="60" customHeight="1" x14ac:dyDescent="0.25">
      <c r="A15" s="45" t="s">
        <v>156</v>
      </c>
      <c r="B15" s="229" t="s">
        <v>148</v>
      </c>
      <c r="C15" s="231" t="s">
        <v>147</v>
      </c>
      <c r="D15" s="229" t="s">
        <v>148</v>
      </c>
      <c r="E15" s="231" t="s">
        <v>147</v>
      </c>
      <c r="F15" s="230" t="s">
        <v>148</v>
      </c>
      <c r="G15" s="231" t="s">
        <v>147</v>
      </c>
      <c r="H15" s="229" t="s">
        <v>148</v>
      </c>
      <c r="I15" s="231" t="s">
        <v>147</v>
      </c>
    </row>
    <row r="16" spans="1:11" x14ac:dyDescent="0.25">
      <c r="A16" s="21" t="s">
        <v>3</v>
      </c>
      <c r="B16" s="146">
        <v>37.5</v>
      </c>
      <c r="C16" s="31">
        <v>44.5</v>
      </c>
      <c r="D16" s="146">
        <v>36.39</v>
      </c>
      <c r="E16" s="11">
        <v>47</v>
      </c>
      <c r="F16" s="146">
        <v>36.340000000000003</v>
      </c>
      <c r="G16" s="31">
        <v>45.33</v>
      </c>
      <c r="H16" s="1">
        <v>32</v>
      </c>
      <c r="I16" s="12">
        <v>47.5</v>
      </c>
      <c r="J16" s="1"/>
    </row>
    <row r="17" spans="1:9" x14ac:dyDescent="0.25">
      <c r="A17" s="198" t="s">
        <v>4</v>
      </c>
      <c r="B17" s="199">
        <v>32</v>
      </c>
      <c r="C17" s="200">
        <v>47.1</v>
      </c>
      <c r="D17" s="199">
        <v>30.3</v>
      </c>
      <c r="E17" s="200">
        <v>47.2</v>
      </c>
      <c r="F17" s="199">
        <v>28</v>
      </c>
      <c r="G17" s="200">
        <v>46.6</v>
      </c>
      <c r="H17" s="199">
        <v>25.2</v>
      </c>
      <c r="I17" s="200">
        <v>46</v>
      </c>
    </row>
    <row r="18" spans="1:9" x14ac:dyDescent="0.25">
      <c r="A18" s="303"/>
      <c r="B18" s="304"/>
      <c r="C18" s="304"/>
      <c r="D18" s="304"/>
      <c r="E18" s="304"/>
      <c r="F18" s="304"/>
      <c r="G18" s="304"/>
      <c r="H18" s="304"/>
      <c r="I18" s="305"/>
    </row>
    <row r="19" spans="1:9" ht="45" x14ac:dyDescent="0.25">
      <c r="A19" s="235" t="s">
        <v>193</v>
      </c>
      <c r="B19" s="230" t="s">
        <v>194</v>
      </c>
      <c r="C19" s="231" t="s">
        <v>195</v>
      </c>
      <c r="D19" s="230" t="s">
        <v>194</v>
      </c>
      <c r="E19" s="231" t="s">
        <v>195</v>
      </c>
      <c r="F19" s="230" t="s">
        <v>194</v>
      </c>
      <c r="G19" s="231" t="s">
        <v>195</v>
      </c>
      <c r="H19" s="230" t="s">
        <v>194</v>
      </c>
      <c r="I19" s="231" t="s">
        <v>195</v>
      </c>
    </row>
    <row r="20" spans="1:9" x14ac:dyDescent="0.25">
      <c r="A20" s="21" t="s">
        <v>3</v>
      </c>
      <c r="B20" s="1">
        <v>75.5</v>
      </c>
      <c r="C20" s="13">
        <v>24.5</v>
      </c>
      <c r="D20" s="11">
        <v>73.3</v>
      </c>
      <c r="E20" s="191">
        <v>26.7</v>
      </c>
      <c r="F20" s="11">
        <v>67.900000000000006</v>
      </c>
      <c r="G20" s="191">
        <v>32.1</v>
      </c>
      <c r="H20" s="192">
        <v>65.8</v>
      </c>
      <c r="I20" s="12">
        <v>34.200000000000003</v>
      </c>
    </row>
    <row r="21" spans="1:9" x14ac:dyDescent="0.25">
      <c r="A21" s="198" t="s">
        <v>4</v>
      </c>
      <c r="B21" s="199">
        <v>67.2</v>
      </c>
      <c r="C21" s="200">
        <v>32.799999999999997</v>
      </c>
      <c r="D21" s="201">
        <v>62.7</v>
      </c>
      <c r="E21" s="200">
        <v>37.299999999999997</v>
      </c>
      <c r="F21" s="201">
        <v>58.2</v>
      </c>
      <c r="G21" s="201">
        <v>41.8</v>
      </c>
      <c r="H21" s="199">
        <v>56.4</v>
      </c>
      <c r="I21" s="200">
        <v>43.6</v>
      </c>
    </row>
    <row r="22" spans="1:9" x14ac:dyDescent="0.25">
      <c r="A22" s="250" t="s">
        <v>169</v>
      </c>
      <c r="B22" s="250"/>
      <c r="C22" s="250"/>
      <c r="D22" s="250"/>
      <c r="E22" s="250"/>
      <c r="F22" s="250"/>
      <c r="G22" s="1"/>
      <c r="H22" s="136"/>
    </row>
  </sheetData>
  <mergeCells count="10">
    <mergeCell ref="A1:I1"/>
    <mergeCell ref="A22:F22"/>
    <mergeCell ref="F2:G2"/>
    <mergeCell ref="H2:I2"/>
    <mergeCell ref="D2:E2"/>
    <mergeCell ref="A6:I6"/>
    <mergeCell ref="A10:I10"/>
    <mergeCell ref="A14:I14"/>
    <mergeCell ref="B2:C2"/>
    <mergeCell ref="A18:I18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17B0-9C92-4914-A458-3FAC6D0EA59C}">
  <sheetPr>
    <pageSetUpPr fitToPage="1"/>
  </sheetPr>
  <dimension ref="A1:K20"/>
  <sheetViews>
    <sheetView workbookViewId="0">
      <selection sqref="A1:I1"/>
    </sheetView>
  </sheetViews>
  <sheetFormatPr defaultRowHeight="15" x14ac:dyDescent="0.25"/>
  <cols>
    <col min="1" max="1" width="16.7109375" customWidth="1"/>
    <col min="2" max="11" width="18.7109375" customWidth="1"/>
  </cols>
  <sheetData>
    <row r="1" spans="1:11" x14ac:dyDescent="0.25">
      <c r="A1" s="253" t="s">
        <v>221</v>
      </c>
      <c r="B1" s="253"/>
      <c r="C1" s="253"/>
      <c r="D1" s="253"/>
      <c r="E1" s="253"/>
      <c r="F1" s="253"/>
      <c r="G1" s="253"/>
      <c r="H1" s="253"/>
      <c r="I1" s="253"/>
    </row>
    <row r="2" spans="1:11" ht="46.5" customHeight="1" x14ac:dyDescent="0.25">
      <c r="A2" s="309" t="s">
        <v>27</v>
      </c>
      <c r="B2" s="311" t="s">
        <v>145</v>
      </c>
      <c r="C2" s="311"/>
      <c r="D2" s="312" t="s">
        <v>149</v>
      </c>
      <c r="E2" s="313"/>
      <c r="F2" s="314" t="s">
        <v>152</v>
      </c>
      <c r="G2" s="315"/>
      <c r="H2" s="314" t="s">
        <v>156</v>
      </c>
      <c r="I2" s="315"/>
      <c r="J2" s="307" t="s">
        <v>193</v>
      </c>
      <c r="K2" s="308"/>
    </row>
    <row r="3" spans="1:11" ht="30" x14ac:dyDescent="0.25">
      <c r="A3" s="310"/>
      <c r="B3" s="229" t="s">
        <v>146</v>
      </c>
      <c r="C3" s="231" t="s">
        <v>147</v>
      </c>
      <c r="D3" s="229" t="s">
        <v>150</v>
      </c>
      <c r="E3" s="231" t="s">
        <v>151</v>
      </c>
      <c r="F3" s="229" t="s">
        <v>153</v>
      </c>
      <c r="G3" s="231" t="s">
        <v>154</v>
      </c>
      <c r="H3" s="229" t="s">
        <v>148</v>
      </c>
      <c r="I3" s="231" t="s">
        <v>147</v>
      </c>
      <c r="J3" s="230" t="s">
        <v>194</v>
      </c>
      <c r="K3" s="231" t="s">
        <v>195</v>
      </c>
    </row>
    <row r="4" spans="1:11" ht="30" x14ac:dyDescent="0.25">
      <c r="A4" s="73" t="s">
        <v>28</v>
      </c>
      <c r="B4" s="37">
        <v>44.9</v>
      </c>
      <c r="C4" s="197">
        <v>50.7</v>
      </c>
      <c r="D4" s="160">
        <v>71.400000000000006</v>
      </c>
      <c r="E4" s="37">
        <v>28.6</v>
      </c>
      <c r="F4" s="190">
        <v>50</v>
      </c>
      <c r="G4" s="209">
        <v>46.7</v>
      </c>
      <c r="H4" s="37">
        <v>40</v>
      </c>
      <c r="I4" s="209">
        <v>42.9</v>
      </c>
      <c r="J4" s="37">
        <v>72.900000000000006</v>
      </c>
      <c r="K4" s="210">
        <v>27.1</v>
      </c>
    </row>
    <row r="5" spans="1:11" ht="45" x14ac:dyDescent="0.25">
      <c r="A5" s="73" t="s">
        <v>37</v>
      </c>
      <c r="B5" s="37">
        <v>39.700000000000003</v>
      </c>
      <c r="C5" s="69">
        <v>52.1</v>
      </c>
      <c r="D5" s="37">
        <v>70.400000000000006</v>
      </c>
      <c r="E5" s="37">
        <v>29.6</v>
      </c>
      <c r="F5" s="214">
        <v>52.6</v>
      </c>
      <c r="G5" s="215">
        <v>46.7</v>
      </c>
      <c r="H5" s="236">
        <v>48.6</v>
      </c>
      <c r="I5" s="215">
        <v>41</v>
      </c>
      <c r="J5" s="216">
        <v>66.7</v>
      </c>
      <c r="K5" s="211">
        <v>33.299999999999997</v>
      </c>
    </row>
    <row r="6" spans="1:11" ht="30" x14ac:dyDescent="0.25">
      <c r="A6" s="73" t="s">
        <v>29</v>
      </c>
      <c r="B6" s="37">
        <v>40</v>
      </c>
      <c r="C6" s="69">
        <v>55.4</v>
      </c>
      <c r="D6" s="37">
        <v>62.2</v>
      </c>
      <c r="E6" s="213">
        <v>37.799999999999997</v>
      </c>
      <c r="F6" s="236">
        <v>50</v>
      </c>
      <c r="G6" s="215">
        <v>45.8</v>
      </c>
      <c r="H6" s="236">
        <v>34.700000000000003</v>
      </c>
      <c r="I6" s="215">
        <v>49</v>
      </c>
      <c r="J6" s="216">
        <v>69.599999999999994</v>
      </c>
      <c r="K6" s="211">
        <v>30.4</v>
      </c>
    </row>
    <row r="7" spans="1:11" ht="60" x14ac:dyDescent="0.25">
      <c r="A7" s="73" t="s">
        <v>42</v>
      </c>
      <c r="B7" s="37">
        <v>36.200000000000003</v>
      </c>
      <c r="C7" s="69">
        <v>55.1</v>
      </c>
      <c r="D7" s="37">
        <v>64.900000000000006</v>
      </c>
      <c r="E7" s="213">
        <v>35.1</v>
      </c>
      <c r="F7" s="236">
        <v>50.4</v>
      </c>
      <c r="G7" s="215">
        <v>46.6</v>
      </c>
      <c r="H7" s="236">
        <v>34.700000000000003</v>
      </c>
      <c r="I7" s="215">
        <v>46.3</v>
      </c>
      <c r="J7" s="216">
        <v>82.7</v>
      </c>
      <c r="K7" s="211">
        <v>17.3</v>
      </c>
    </row>
    <row r="8" spans="1:11" x14ac:dyDescent="0.25">
      <c r="A8" s="73" t="s">
        <v>30</v>
      </c>
      <c r="B8" s="37">
        <v>70.400000000000006</v>
      </c>
      <c r="C8" s="69">
        <v>26.8</v>
      </c>
      <c r="D8" s="37">
        <v>69.599999999999994</v>
      </c>
      <c r="E8" s="213">
        <v>30.4</v>
      </c>
      <c r="F8" s="236">
        <v>69.599999999999994</v>
      </c>
      <c r="G8" s="215">
        <v>28</v>
      </c>
      <c r="H8" s="236">
        <v>46.6</v>
      </c>
      <c r="I8" s="215">
        <v>34.1</v>
      </c>
      <c r="J8" s="216">
        <v>90.4</v>
      </c>
      <c r="K8" s="211">
        <v>9.6</v>
      </c>
    </row>
    <row r="9" spans="1:11" ht="60" x14ac:dyDescent="0.25">
      <c r="A9" s="73" t="s">
        <v>31</v>
      </c>
      <c r="B9" s="37">
        <v>47.5</v>
      </c>
      <c r="C9" s="69">
        <v>45.4</v>
      </c>
      <c r="D9" s="37">
        <v>84.3</v>
      </c>
      <c r="E9" s="213">
        <v>15.7</v>
      </c>
      <c r="F9" s="236">
        <v>62.2</v>
      </c>
      <c r="G9" s="215">
        <v>34.799999999999997</v>
      </c>
      <c r="H9" s="236">
        <v>49.1</v>
      </c>
      <c r="I9" s="215">
        <v>41.1</v>
      </c>
      <c r="J9" s="216">
        <v>84.3</v>
      </c>
      <c r="K9" s="211">
        <v>15.7</v>
      </c>
    </row>
    <row r="10" spans="1:11" ht="45" x14ac:dyDescent="0.25">
      <c r="A10" s="73" t="s">
        <v>41</v>
      </c>
      <c r="B10" s="37">
        <v>31.7</v>
      </c>
      <c r="C10" s="69">
        <v>56.6</v>
      </c>
      <c r="D10" s="37">
        <v>72.3</v>
      </c>
      <c r="E10" s="213">
        <v>27.7</v>
      </c>
      <c r="F10" s="236">
        <v>49.2</v>
      </c>
      <c r="G10" s="215">
        <v>50.8</v>
      </c>
      <c r="H10" s="236">
        <v>30.4</v>
      </c>
      <c r="I10" s="215">
        <v>54.4</v>
      </c>
      <c r="J10" s="216">
        <v>76.7</v>
      </c>
      <c r="K10" s="211">
        <v>23.3</v>
      </c>
    </row>
    <row r="11" spans="1:11" x14ac:dyDescent="0.25">
      <c r="A11" s="73" t="s">
        <v>32</v>
      </c>
      <c r="B11" s="37">
        <v>30.9</v>
      </c>
      <c r="C11" s="69">
        <v>56.7</v>
      </c>
      <c r="D11" s="37">
        <v>74.599999999999994</v>
      </c>
      <c r="E11" s="213">
        <v>25.4</v>
      </c>
      <c r="F11" s="236">
        <v>51.7</v>
      </c>
      <c r="G11" s="215">
        <v>46</v>
      </c>
      <c r="H11" s="236">
        <v>39.799999999999997</v>
      </c>
      <c r="I11" s="215">
        <v>46.2</v>
      </c>
      <c r="J11" s="216">
        <v>70.900000000000006</v>
      </c>
      <c r="K11" s="211">
        <v>29.1</v>
      </c>
    </row>
    <row r="12" spans="1:11" ht="45" x14ac:dyDescent="0.25">
      <c r="A12" s="73" t="s">
        <v>38</v>
      </c>
      <c r="B12" s="37">
        <v>57.1</v>
      </c>
      <c r="C12" s="69">
        <v>40.799999999999997</v>
      </c>
      <c r="D12" s="37">
        <v>64.400000000000006</v>
      </c>
      <c r="E12" s="213">
        <v>35.6</v>
      </c>
      <c r="F12" s="236">
        <v>58.1</v>
      </c>
      <c r="G12" s="215">
        <v>41.9</v>
      </c>
      <c r="H12" s="236">
        <v>49</v>
      </c>
      <c r="I12" s="215">
        <v>46.9</v>
      </c>
      <c r="J12" s="216">
        <v>83.3</v>
      </c>
      <c r="K12" s="211">
        <v>16.7</v>
      </c>
    </row>
    <row r="13" spans="1:11" ht="45" x14ac:dyDescent="0.25">
      <c r="A13" s="73" t="s">
        <v>33</v>
      </c>
      <c r="B13" s="37">
        <v>24.8</v>
      </c>
      <c r="C13" s="69">
        <v>51.4</v>
      </c>
      <c r="D13" s="37">
        <v>49.7</v>
      </c>
      <c r="E13" s="213">
        <v>50.3</v>
      </c>
      <c r="F13" s="236">
        <v>38.1</v>
      </c>
      <c r="G13" s="215">
        <v>55.6</v>
      </c>
      <c r="H13" s="236">
        <v>21.9</v>
      </c>
      <c r="I13" s="215">
        <v>39.700000000000003</v>
      </c>
      <c r="J13" s="216">
        <v>51.8</v>
      </c>
      <c r="K13" s="211">
        <v>48.2</v>
      </c>
    </row>
    <row r="14" spans="1:11" ht="30" x14ac:dyDescent="0.25">
      <c r="A14" s="73" t="s">
        <v>39</v>
      </c>
      <c r="B14" s="37">
        <v>0.6</v>
      </c>
      <c r="C14" s="69">
        <v>34.5</v>
      </c>
      <c r="D14" s="37">
        <v>71.2</v>
      </c>
      <c r="E14" s="213">
        <v>28.8</v>
      </c>
      <c r="F14" s="236">
        <v>61.2</v>
      </c>
      <c r="G14" s="215">
        <v>35.700000000000003</v>
      </c>
      <c r="H14" s="236">
        <v>50.5</v>
      </c>
      <c r="I14" s="215">
        <v>36.799999999999997</v>
      </c>
      <c r="J14" s="216">
        <v>82.7</v>
      </c>
      <c r="K14" s="211">
        <v>17.3</v>
      </c>
    </row>
    <row r="15" spans="1:11" ht="45" x14ac:dyDescent="0.25">
      <c r="A15" s="73" t="s">
        <v>40</v>
      </c>
      <c r="B15" s="37">
        <v>45</v>
      </c>
      <c r="C15" s="69">
        <v>48.8</v>
      </c>
      <c r="D15" s="37">
        <v>67.900000000000006</v>
      </c>
      <c r="E15" s="69">
        <v>32.1</v>
      </c>
      <c r="F15" s="236">
        <v>52.1</v>
      </c>
      <c r="G15" s="215">
        <v>45.2</v>
      </c>
      <c r="H15" s="236">
        <v>43.3</v>
      </c>
      <c r="I15" s="215">
        <v>45.22</v>
      </c>
      <c r="J15" s="216">
        <v>85.9</v>
      </c>
      <c r="K15" s="211">
        <v>14.1</v>
      </c>
    </row>
    <row r="16" spans="1:11" ht="45" x14ac:dyDescent="0.25">
      <c r="A16" s="73" t="s">
        <v>34</v>
      </c>
      <c r="B16" s="37">
        <v>50</v>
      </c>
      <c r="C16" s="69">
        <v>45.6</v>
      </c>
      <c r="D16" s="37">
        <v>51.7</v>
      </c>
      <c r="E16" s="69">
        <v>48.3</v>
      </c>
      <c r="F16" s="236">
        <v>64.7</v>
      </c>
      <c r="G16" s="215">
        <v>31.6</v>
      </c>
      <c r="H16" s="236">
        <v>42.4</v>
      </c>
      <c r="I16" s="215">
        <v>45.5</v>
      </c>
      <c r="J16" s="216">
        <v>88</v>
      </c>
      <c r="K16" s="211">
        <v>12</v>
      </c>
    </row>
    <row r="17" spans="1:11" ht="30" x14ac:dyDescent="0.25">
      <c r="A17" s="73" t="s">
        <v>35</v>
      </c>
      <c r="B17" s="37">
        <v>40.1</v>
      </c>
      <c r="C17" s="69">
        <v>53.7</v>
      </c>
      <c r="D17" s="113">
        <v>70.900000000000006</v>
      </c>
      <c r="E17" s="223">
        <v>29.1</v>
      </c>
      <c r="F17" s="219">
        <v>47.1</v>
      </c>
      <c r="G17" s="218">
        <v>50.4</v>
      </c>
      <c r="H17" s="217">
        <v>35.799999999999997</v>
      </c>
      <c r="I17" s="218">
        <v>51</v>
      </c>
      <c r="J17" s="217">
        <v>76.400000000000006</v>
      </c>
      <c r="K17" s="212">
        <v>23.6</v>
      </c>
    </row>
    <row r="18" spans="1:11" x14ac:dyDescent="0.25">
      <c r="A18" s="74" t="s">
        <v>36</v>
      </c>
      <c r="B18" s="220">
        <v>41.4</v>
      </c>
      <c r="C18" s="221">
        <v>49.3</v>
      </c>
      <c r="D18" s="237">
        <v>66.2</v>
      </c>
      <c r="E18" s="222">
        <v>33.799999999999997</v>
      </c>
      <c r="F18" s="238">
        <v>51.6</v>
      </c>
      <c r="G18" s="238">
        <v>45.3</v>
      </c>
      <c r="H18" s="224">
        <v>37.5</v>
      </c>
      <c r="I18" s="221">
        <v>44.5</v>
      </c>
      <c r="J18" s="237">
        <v>75.5</v>
      </c>
      <c r="K18" s="225">
        <v>24.5</v>
      </c>
    </row>
    <row r="19" spans="1:11" x14ac:dyDescent="0.25">
      <c r="A19" s="232" t="s">
        <v>4</v>
      </c>
      <c r="B19" s="198">
        <v>33.5</v>
      </c>
      <c r="C19" s="143">
        <v>50.4</v>
      </c>
      <c r="D19" s="198">
        <v>62.5</v>
      </c>
      <c r="E19" s="143">
        <v>37.5</v>
      </c>
      <c r="F19" s="198">
        <v>41.3</v>
      </c>
      <c r="G19" s="143">
        <v>51.6</v>
      </c>
      <c r="H19" s="198">
        <v>32</v>
      </c>
      <c r="I19" s="143">
        <v>47.1</v>
      </c>
      <c r="J19" s="198">
        <v>67.2</v>
      </c>
      <c r="K19" s="143">
        <v>32.799999999999997</v>
      </c>
    </row>
    <row r="20" spans="1:11" x14ac:dyDescent="0.25">
      <c r="A20" s="250" t="s">
        <v>169</v>
      </c>
      <c r="B20" s="250"/>
      <c r="C20" s="250"/>
      <c r="D20" s="250"/>
      <c r="E20" s="250"/>
      <c r="F20" s="250"/>
    </row>
  </sheetData>
  <mergeCells count="8">
    <mergeCell ref="J2:K2"/>
    <mergeCell ref="A20:F20"/>
    <mergeCell ref="A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5"/>
  <sheetViews>
    <sheetView zoomScaleNormal="100" workbookViewId="0">
      <selection activeCell="A3" sqref="A3:Q23"/>
    </sheetView>
  </sheetViews>
  <sheetFormatPr defaultRowHeight="15" x14ac:dyDescent="0.25"/>
  <cols>
    <col min="1" max="1" width="17" customWidth="1"/>
    <col min="2" max="17" width="12.7109375" customWidth="1"/>
  </cols>
  <sheetData>
    <row r="1" spans="1:18" x14ac:dyDescent="0.25">
      <c r="A1" s="316" t="s">
        <v>217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</row>
    <row r="2" spans="1:18" x14ac:dyDescent="0.25">
      <c r="A2" s="48"/>
      <c r="B2" s="48"/>
      <c r="C2" s="48"/>
      <c r="D2" s="48"/>
      <c r="E2" s="48"/>
      <c r="F2" s="48"/>
    </row>
    <row r="3" spans="1:18" ht="54" customHeight="1" x14ac:dyDescent="0.25">
      <c r="A3" s="145"/>
      <c r="B3" s="244" t="s">
        <v>157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76"/>
    </row>
    <row r="4" spans="1:18" x14ac:dyDescent="0.25">
      <c r="A4" s="159"/>
      <c r="B4" s="286" t="s">
        <v>190</v>
      </c>
      <c r="C4" s="287"/>
      <c r="D4" s="287"/>
      <c r="E4" s="288"/>
      <c r="F4" s="286" t="s">
        <v>179</v>
      </c>
      <c r="G4" s="287"/>
      <c r="H4" s="287"/>
      <c r="I4" s="288"/>
      <c r="J4" s="286" t="s">
        <v>180</v>
      </c>
      <c r="K4" s="287"/>
      <c r="L4" s="287"/>
      <c r="M4" s="288"/>
      <c r="N4" s="286" t="s">
        <v>181</v>
      </c>
      <c r="O4" s="287"/>
      <c r="P4" s="287"/>
      <c r="Q4" s="288"/>
    </row>
    <row r="5" spans="1:18" ht="45" x14ac:dyDescent="0.25">
      <c r="A5" s="74" t="s">
        <v>27</v>
      </c>
      <c r="B5" s="226" t="s">
        <v>158</v>
      </c>
      <c r="C5" s="227" t="s">
        <v>159</v>
      </c>
      <c r="D5" s="227" t="s">
        <v>160</v>
      </c>
      <c r="E5" s="228" t="s">
        <v>170</v>
      </c>
      <c r="F5" s="226" t="s">
        <v>158</v>
      </c>
      <c r="G5" s="227" t="s">
        <v>159</v>
      </c>
      <c r="H5" s="227" t="s">
        <v>160</v>
      </c>
      <c r="I5" s="228" t="s">
        <v>170</v>
      </c>
      <c r="J5" s="226" t="s">
        <v>158</v>
      </c>
      <c r="K5" s="227" t="s">
        <v>159</v>
      </c>
      <c r="L5" s="227" t="s">
        <v>160</v>
      </c>
      <c r="M5" s="228" t="s">
        <v>170</v>
      </c>
      <c r="N5" s="226" t="s">
        <v>158</v>
      </c>
      <c r="O5" s="227" t="s">
        <v>159</v>
      </c>
      <c r="P5" s="227" t="s">
        <v>160</v>
      </c>
      <c r="Q5" s="228" t="s">
        <v>170</v>
      </c>
    </row>
    <row r="6" spans="1:18" ht="30" x14ac:dyDescent="0.25">
      <c r="A6" s="73" t="s">
        <v>28</v>
      </c>
      <c r="B6" s="56">
        <v>45.8</v>
      </c>
      <c r="C6" s="56">
        <v>47.2</v>
      </c>
      <c r="D6" s="56">
        <v>6.9</v>
      </c>
      <c r="E6" s="60">
        <v>0</v>
      </c>
      <c r="F6" s="56">
        <v>33.33</v>
      </c>
      <c r="G6" s="56">
        <v>54.55</v>
      </c>
      <c r="H6" s="56">
        <v>12.12</v>
      </c>
      <c r="I6" s="60">
        <v>0</v>
      </c>
      <c r="J6" s="56">
        <v>27.59</v>
      </c>
      <c r="K6" s="56">
        <v>60.34</v>
      </c>
      <c r="L6" s="56">
        <v>10.34</v>
      </c>
      <c r="M6" s="57">
        <v>1.72</v>
      </c>
      <c r="N6" s="55">
        <v>40.6</v>
      </c>
      <c r="O6" s="56">
        <v>48.4</v>
      </c>
      <c r="P6" s="56">
        <v>10.9</v>
      </c>
      <c r="Q6" s="57">
        <v>0</v>
      </c>
    </row>
    <row r="7" spans="1:18" ht="45" x14ac:dyDescent="0.25">
      <c r="A7" s="73" t="s">
        <v>37</v>
      </c>
      <c r="B7" s="56">
        <v>44.9</v>
      </c>
      <c r="C7" s="56">
        <v>39.5</v>
      </c>
      <c r="D7" s="56">
        <v>12.2</v>
      </c>
      <c r="E7" s="57">
        <v>0.7</v>
      </c>
      <c r="F7" s="56">
        <v>42.31</v>
      </c>
      <c r="G7" s="56">
        <v>39.56</v>
      </c>
      <c r="H7" s="56">
        <v>12.64</v>
      </c>
      <c r="I7" s="57">
        <v>3.85</v>
      </c>
      <c r="J7" s="56">
        <v>44.51</v>
      </c>
      <c r="K7" s="56">
        <v>43.96</v>
      </c>
      <c r="L7" s="56">
        <v>8.24</v>
      </c>
      <c r="M7" s="56">
        <v>2.75</v>
      </c>
      <c r="N7" s="55">
        <v>41.1</v>
      </c>
      <c r="O7" s="56">
        <v>46.3</v>
      </c>
      <c r="P7" s="56">
        <v>10.4</v>
      </c>
      <c r="Q7" s="57">
        <v>1.7</v>
      </c>
    </row>
    <row r="8" spans="1:18" ht="30" x14ac:dyDescent="0.25">
      <c r="A8" s="73" t="s">
        <v>29</v>
      </c>
      <c r="B8" s="56">
        <v>50.8</v>
      </c>
      <c r="C8" s="56">
        <v>41.7</v>
      </c>
      <c r="D8" s="56">
        <v>7.6</v>
      </c>
      <c r="E8" s="57">
        <v>0</v>
      </c>
      <c r="F8" s="56">
        <v>43.95</v>
      </c>
      <c r="G8" s="56">
        <v>48.88</v>
      </c>
      <c r="H8" s="56">
        <v>6.28</v>
      </c>
      <c r="I8" s="57">
        <v>0</v>
      </c>
      <c r="J8" s="56">
        <v>43.67</v>
      </c>
      <c r="K8" s="56">
        <v>51.09</v>
      </c>
      <c r="L8" s="56">
        <v>3.93</v>
      </c>
      <c r="M8" s="56">
        <v>0.44</v>
      </c>
      <c r="N8" s="55">
        <v>54.1</v>
      </c>
      <c r="O8" s="56">
        <v>41.9</v>
      </c>
      <c r="P8" s="56">
        <v>3.5</v>
      </c>
      <c r="Q8" s="57">
        <v>0.4</v>
      </c>
      <c r="R8" s="52"/>
    </row>
    <row r="9" spans="1:18" ht="60" x14ac:dyDescent="0.25">
      <c r="A9" s="73" t="s">
        <v>42</v>
      </c>
      <c r="B9" s="56">
        <v>54.2</v>
      </c>
      <c r="C9" s="56">
        <v>39</v>
      </c>
      <c r="D9" s="56">
        <v>6</v>
      </c>
      <c r="E9" s="57">
        <v>0.4</v>
      </c>
      <c r="F9" s="56">
        <v>54.98</v>
      </c>
      <c r="G9" s="56">
        <v>37.659999999999997</v>
      </c>
      <c r="H9" s="56">
        <v>5.19</v>
      </c>
      <c r="I9" s="57">
        <v>2.16</v>
      </c>
      <c r="J9" s="56">
        <v>62.2</v>
      </c>
      <c r="K9" s="56">
        <v>33.54</v>
      </c>
      <c r="L9" s="56">
        <v>2.44</v>
      </c>
      <c r="M9" s="56">
        <v>1.83</v>
      </c>
      <c r="N9" s="55">
        <v>56.1</v>
      </c>
      <c r="O9" s="56">
        <v>34.799999999999997</v>
      </c>
      <c r="P9" s="56">
        <v>7.7</v>
      </c>
      <c r="Q9" s="57">
        <v>1.3</v>
      </c>
    </row>
    <row r="10" spans="1:18" x14ac:dyDescent="0.25">
      <c r="A10" s="73" t="s">
        <v>30</v>
      </c>
      <c r="B10" s="56">
        <v>65.8</v>
      </c>
      <c r="C10" s="56">
        <v>26.3</v>
      </c>
      <c r="D10" s="56">
        <v>5.9</v>
      </c>
      <c r="E10" s="57">
        <v>1.3</v>
      </c>
      <c r="F10" s="56">
        <v>63.49</v>
      </c>
      <c r="G10" s="56">
        <v>30.16</v>
      </c>
      <c r="H10" s="56">
        <v>4.2300000000000004</v>
      </c>
      <c r="I10" s="57">
        <v>1.06</v>
      </c>
      <c r="J10" s="56">
        <v>60.67</v>
      </c>
      <c r="K10" s="56">
        <v>30.9</v>
      </c>
      <c r="L10" s="56">
        <v>6.74</v>
      </c>
      <c r="M10" s="56">
        <v>1.69</v>
      </c>
      <c r="N10" s="55">
        <v>65.099999999999994</v>
      </c>
      <c r="O10" s="56">
        <v>28.5</v>
      </c>
      <c r="P10" s="56">
        <v>5.2</v>
      </c>
      <c r="Q10" s="57">
        <v>0.4</v>
      </c>
    </row>
    <row r="11" spans="1:18" ht="60" x14ac:dyDescent="0.25">
      <c r="A11" s="73" t="s">
        <v>31</v>
      </c>
      <c r="B11" s="56">
        <v>50</v>
      </c>
      <c r="C11" s="56">
        <v>43.8</v>
      </c>
      <c r="D11" s="56">
        <v>5.5</v>
      </c>
      <c r="E11" s="57">
        <v>0</v>
      </c>
      <c r="F11" s="56">
        <v>50.61</v>
      </c>
      <c r="G11" s="56">
        <v>42.68</v>
      </c>
      <c r="H11" s="56">
        <v>5.49</v>
      </c>
      <c r="I11" s="57">
        <v>0.61</v>
      </c>
      <c r="J11" s="56">
        <v>49.68</v>
      </c>
      <c r="K11" s="56">
        <v>42.58</v>
      </c>
      <c r="L11" s="56">
        <v>6.45</v>
      </c>
      <c r="M11" s="56">
        <v>0.65</v>
      </c>
      <c r="N11" s="55">
        <v>44.2</v>
      </c>
      <c r="O11" s="56">
        <v>40.6</v>
      </c>
      <c r="P11" s="56">
        <v>13.9</v>
      </c>
      <c r="Q11" s="57">
        <v>1.2</v>
      </c>
    </row>
    <row r="12" spans="1:18" ht="45" x14ac:dyDescent="0.25">
      <c r="A12" s="73" t="s">
        <v>41</v>
      </c>
      <c r="B12" s="56">
        <v>57.1</v>
      </c>
      <c r="C12" s="56">
        <v>38.299999999999997</v>
      </c>
      <c r="D12" s="56">
        <v>3.9</v>
      </c>
      <c r="E12" s="57">
        <v>0</v>
      </c>
      <c r="F12" s="56">
        <v>44.72</v>
      </c>
      <c r="G12" s="56">
        <v>43.09</v>
      </c>
      <c r="H12" s="56">
        <v>10.57</v>
      </c>
      <c r="I12" s="57">
        <v>0</v>
      </c>
      <c r="J12" s="56">
        <v>41.09</v>
      </c>
      <c r="K12" s="56">
        <v>51.94</v>
      </c>
      <c r="L12" s="56">
        <v>6.2</v>
      </c>
      <c r="M12" s="56">
        <v>0</v>
      </c>
      <c r="N12" s="55">
        <v>48.9</v>
      </c>
      <c r="O12" s="56">
        <v>37.799999999999997</v>
      </c>
      <c r="P12" s="56">
        <v>12.6</v>
      </c>
      <c r="Q12" s="57">
        <v>0.7</v>
      </c>
    </row>
    <row r="13" spans="1:18" x14ac:dyDescent="0.25">
      <c r="A13" s="73" t="s">
        <v>32</v>
      </c>
      <c r="B13" s="56">
        <v>40</v>
      </c>
      <c r="C13" s="56">
        <v>48</v>
      </c>
      <c r="D13" s="56">
        <v>10</v>
      </c>
      <c r="E13" s="57">
        <v>2</v>
      </c>
      <c r="F13" s="56">
        <v>59.18</v>
      </c>
      <c r="G13" s="56">
        <v>34.69</v>
      </c>
      <c r="H13" s="56">
        <v>5.0999999999999996</v>
      </c>
      <c r="I13" s="57">
        <v>1.02</v>
      </c>
      <c r="J13" s="56">
        <v>54.76</v>
      </c>
      <c r="K13" s="56">
        <v>35.71</v>
      </c>
      <c r="L13" s="56">
        <v>9.52</v>
      </c>
      <c r="M13" s="57">
        <v>0</v>
      </c>
      <c r="N13" s="55">
        <v>59.4</v>
      </c>
      <c r="O13" s="56">
        <v>33.299999999999997</v>
      </c>
      <c r="P13" s="56">
        <v>2.9</v>
      </c>
      <c r="Q13" s="57">
        <v>0</v>
      </c>
    </row>
    <row r="14" spans="1:18" ht="45" x14ac:dyDescent="0.25">
      <c r="A14" s="73" t="s">
        <v>38</v>
      </c>
      <c r="B14" s="56">
        <v>63.3</v>
      </c>
      <c r="C14" s="56">
        <v>26.5</v>
      </c>
      <c r="D14" s="56">
        <v>8.1999999999999993</v>
      </c>
      <c r="E14" s="57">
        <v>2</v>
      </c>
      <c r="F14" s="56">
        <v>49.23</v>
      </c>
      <c r="G14" s="56">
        <v>41.54</v>
      </c>
      <c r="H14" s="56">
        <v>7.69</v>
      </c>
      <c r="I14" s="57">
        <v>1.54</v>
      </c>
      <c r="J14" s="56">
        <v>55.41</v>
      </c>
      <c r="K14" s="56">
        <v>29.73</v>
      </c>
      <c r="L14" s="56">
        <v>9.4600000000000009</v>
      </c>
      <c r="M14" s="56">
        <v>5.41</v>
      </c>
      <c r="N14" s="55">
        <v>50</v>
      </c>
      <c r="O14" s="56">
        <v>38.299999999999997</v>
      </c>
      <c r="P14" s="56">
        <v>10</v>
      </c>
      <c r="Q14" s="57">
        <v>1.7</v>
      </c>
    </row>
    <row r="15" spans="1:18" ht="45" x14ac:dyDescent="0.25">
      <c r="A15" s="75" t="s">
        <v>33</v>
      </c>
      <c r="B15" s="62">
        <v>17.5</v>
      </c>
      <c r="C15" s="62">
        <v>51.8</v>
      </c>
      <c r="D15" s="62">
        <v>23.6</v>
      </c>
      <c r="E15" s="63">
        <v>6.6</v>
      </c>
      <c r="F15" s="62">
        <v>18.329999999999998</v>
      </c>
      <c r="G15" s="62">
        <v>56.11</v>
      </c>
      <c r="H15" s="62">
        <v>19.91</v>
      </c>
      <c r="I15" s="63">
        <v>5.43</v>
      </c>
      <c r="J15" s="62">
        <v>21.28</v>
      </c>
      <c r="K15" s="62">
        <v>47.52</v>
      </c>
      <c r="L15" s="62">
        <v>25.66</v>
      </c>
      <c r="M15" s="62">
        <v>4.96</v>
      </c>
      <c r="N15" s="61">
        <v>21.9</v>
      </c>
      <c r="O15" s="62">
        <v>53.2</v>
      </c>
      <c r="P15" s="62">
        <v>20.9</v>
      </c>
      <c r="Q15" s="63">
        <v>3.7</v>
      </c>
    </row>
    <row r="16" spans="1:18" ht="54" customHeight="1" x14ac:dyDescent="0.25">
      <c r="A16" s="145"/>
      <c r="B16" s="244" t="s">
        <v>157</v>
      </c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76"/>
    </row>
    <row r="17" spans="1:17" x14ac:dyDescent="0.25">
      <c r="A17" s="159"/>
      <c r="B17" s="286" t="s">
        <v>190</v>
      </c>
      <c r="C17" s="287"/>
      <c r="D17" s="287"/>
      <c r="E17" s="288"/>
      <c r="F17" s="286" t="s">
        <v>179</v>
      </c>
      <c r="G17" s="287"/>
      <c r="H17" s="287"/>
      <c r="I17" s="288"/>
      <c r="J17" s="286" t="s">
        <v>180</v>
      </c>
      <c r="K17" s="287"/>
      <c r="L17" s="287"/>
      <c r="M17" s="288"/>
      <c r="N17" s="286" t="s">
        <v>181</v>
      </c>
      <c r="O17" s="287"/>
      <c r="P17" s="287"/>
      <c r="Q17" s="288"/>
    </row>
    <row r="18" spans="1:17" ht="45" x14ac:dyDescent="0.25">
      <c r="A18" s="74" t="s">
        <v>27</v>
      </c>
      <c r="B18" s="226" t="s">
        <v>158</v>
      </c>
      <c r="C18" s="227" t="s">
        <v>159</v>
      </c>
      <c r="D18" s="227" t="s">
        <v>160</v>
      </c>
      <c r="E18" s="228" t="s">
        <v>170</v>
      </c>
      <c r="F18" s="226" t="s">
        <v>158</v>
      </c>
      <c r="G18" s="227" t="s">
        <v>159</v>
      </c>
      <c r="H18" s="227" t="s">
        <v>160</v>
      </c>
      <c r="I18" s="228" t="s">
        <v>170</v>
      </c>
      <c r="J18" s="226" t="s">
        <v>158</v>
      </c>
      <c r="K18" s="227" t="s">
        <v>159</v>
      </c>
      <c r="L18" s="227" t="s">
        <v>160</v>
      </c>
      <c r="M18" s="228" t="s">
        <v>170</v>
      </c>
      <c r="N18" s="226" t="s">
        <v>158</v>
      </c>
      <c r="O18" s="227" t="s">
        <v>159</v>
      </c>
      <c r="P18" s="227" t="s">
        <v>160</v>
      </c>
      <c r="Q18" s="228" t="s">
        <v>170</v>
      </c>
    </row>
    <row r="19" spans="1:17" ht="30" x14ac:dyDescent="0.25">
      <c r="A19" s="73" t="s">
        <v>39</v>
      </c>
      <c r="B19" s="56">
        <v>66.900000000000006</v>
      </c>
      <c r="C19" s="56">
        <v>31.1</v>
      </c>
      <c r="D19" s="56">
        <v>0.7</v>
      </c>
      <c r="E19" s="60">
        <v>0</v>
      </c>
      <c r="F19" s="56">
        <v>63.53</v>
      </c>
      <c r="G19" s="56">
        <v>32.94</v>
      </c>
      <c r="H19" s="56">
        <v>3.53</v>
      </c>
      <c r="I19" s="57">
        <v>0</v>
      </c>
      <c r="J19" s="56">
        <v>70.52</v>
      </c>
      <c r="K19" s="56">
        <v>27.75</v>
      </c>
      <c r="L19" s="56">
        <v>1.73</v>
      </c>
      <c r="M19" s="56">
        <v>0</v>
      </c>
      <c r="N19" s="55">
        <v>64</v>
      </c>
      <c r="O19" s="56">
        <v>30.1</v>
      </c>
      <c r="P19" s="56">
        <v>4.4000000000000004</v>
      </c>
      <c r="Q19" s="57">
        <v>0.7</v>
      </c>
    </row>
    <row r="20" spans="1:17" ht="45" x14ac:dyDescent="0.25">
      <c r="A20" s="73" t="s">
        <v>40</v>
      </c>
      <c r="B20" s="56">
        <v>52.2</v>
      </c>
      <c r="C20" s="56">
        <v>41.4</v>
      </c>
      <c r="D20" s="56">
        <v>4.7</v>
      </c>
      <c r="E20" s="57">
        <v>1</v>
      </c>
      <c r="F20" s="56">
        <v>50.14</v>
      </c>
      <c r="G20" s="56">
        <v>42.7</v>
      </c>
      <c r="H20" s="56">
        <v>5.79</v>
      </c>
      <c r="I20" s="57">
        <v>1.1000000000000001</v>
      </c>
      <c r="J20" s="56">
        <v>50</v>
      </c>
      <c r="K20" s="56">
        <v>45.19</v>
      </c>
      <c r="L20" s="56">
        <v>4.33</v>
      </c>
      <c r="M20" s="56">
        <v>0</v>
      </c>
      <c r="N20" s="55">
        <v>44.6</v>
      </c>
      <c r="O20" s="56">
        <v>46.7</v>
      </c>
      <c r="P20" s="56">
        <v>7.7</v>
      </c>
      <c r="Q20" s="57">
        <v>0.5</v>
      </c>
    </row>
    <row r="21" spans="1:17" ht="30" x14ac:dyDescent="0.25">
      <c r="A21" s="73" t="s">
        <v>34</v>
      </c>
      <c r="B21" s="56">
        <v>66.2</v>
      </c>
      <c r="C21" s="56">
        <v>31.1</v>
      </c>
      <c r="D21" s="56">
        <v>2.7</v>
      </c>
      <c r="E21" s="57">
        <v>0</v>
      </c>
      <c r="F21" s="56">
        <v>62.96</v>
      </c>
      <c r="G21" s="56">
        <v>34.57</v>
      </c>
      <c r="H21" s="56">
        <v>1.85</v>
      </c>
      <c r="I21" s="57">
        <v>0.62</v>
      </c>
      <c r="J21" s="56">
        <v>67.069999999999993</v>
      </c>
      <c r="K21" s="56">
        <v>28.14</v>
      </c>
      <c r="L21" s="56">
        <v>4.79</v>
      </c>
      <c r="M21" s="57">
        <v>0</v>
      </c>
      <c r="N21" s="55">
        <v>59.2</v>
      </c>
      <c r="O21" s="56">
        <v>36.1</v>
      </c>
      <c r="P21" s="56">
        <v>4.8</v>
      </c>
      <c r="Q21" s="57">
        <v>0</v>
      </c>
    </row>
    <row r="22" spans="1:17" ht="30" x14ac:dyDescent="0.25">
      <c r="A22" s="73" t="s">
        <v>35</v>
      </c>
      <c r="B22" s="56">
        <v>46.4</v>
      </c>
      <c r="C22" s="56">
        <v>42.3</v>
      </c>
      <c r="D22" s="56">
        <v>9.3000000000000007</v>
      </c>
      <c r="E22" s="63">
        <v>1.3</v>
      </c>
      <c r="F22" s="56">
        <v>44.27</v>
      </c>
      <c r="G22" s="56">
        <v>48.31</v>
      </c>
      <c r="H22" s="56">
        <v>6.29</v>
      </c>
      <c r="I22" s="57">
        <v>0.67</v>
      </c>
      <c r="J22" s="56">
        <v>50.95</v>
      </c>
      <c r="K22" s="56">
        <v>39.81</v>
      </c>
      <c r="L22" s="56">
        <v>7.82</v>
      </c>
      <c r="M22" s="56">
        <v>0.95</v>
      </c>
      <c r="N22" s="61">
        <v>44.6</v>
      </c>
      <c r="O22" s="62">
        <v>46.6</v>
      </c>
      <c r="P22" s="62">
        <v>7.7</v>
      </c>
      <c r="Q22" s="63">
        <v>0.9</v>
      </c>
    </row>
    <row r="23" spans="1:17" x14ac:dyDescent="0.25">
      <c r="A23" s="28" t="s">
        <v>36</v>
      </c>
      <c r="B23" s="148">
        <v>48.1</v>
      </c>
      <c r="C23" s="148">
        <v>40.799999999999997</v>
      </c>
      <c r="D23" s="148">
        <v>88.9</v>
      </c>
      <c r="E23" s="149">
        <v>1.6</v>
      </c>
      <c r="F23" s="148">
        <v>45.96</v>
      </c>
      <c r="G23" s="148">
        <v>43.71</v>
      </c>
      <c r="H23" s="148">
        <v>8.2200000000000006</v>
      </c>
      <c r="I23" s="149">
        <v>1.62</v>
      </c>
      <c r="J23" s="65">
        <v>48.74</v>
      </c>
      <c r="K23" s="65">
        <v>40.82</v>
      </c>
      <c r="L23" s="65">
        <v>8.52</v>
      </c>
      <c r="M23" s="66">
        <v>1.49</v>
      </c>
      <c r="N23" s="64">
        <v>46.1</v>
      </c>
      <c r="O23" s="65">
        <v>42.6</v>
      </c>
      <c r="P23" s="65">
        <v>9.8000000000000007</v>
      </c>
      <c r="Q23" s="66">
        <v>1.2</v>
      </c>
    </row>
    <row r="24" spans="1:17" x14ac:dyDescent="0.25">
      <c r="A24" s="143" t="s">
        <v>4</v>
      </c>
      <c r="B24" s="152">
        <v>38.1</v>
      </c>
      <c r="C24" s="152">
        <v>47.6</v>
      </c>
      <c r="D24" s="152">
        <v>11.4</v>
      </c>
      <c r="E24" s="143">
        <v>2.4</v>
      </c>
      <c r="F24" s="152">
        <v>38.299999999999997</v>
      </c>
      <c r="G24" s="152">
        <v>47.3</v>
      </c>
      <c r="H24" s="152">
        <v>11.5</v>
      </c>
      <c r="I24" s="143">
        <v>2.4</v>
      </c>
      <c r="J24" s="152">
        <v>38.299999999999997</v>
      </c>
      <c r="K24" s="152">
        <v>46.7</v>
      </c>
      <c r="L24" s="152">
        <v>12.4</v>
      </c>
      <c r="M24" s="143">
        <v>2.4</v>
      </c>
      <c r="N24" s="152">
        <v>35.9</v>
      </c>
      <c r="O24" s="152">
        <v>47</v>
      </c>
      <c r="P24" s="152">
        <v>14</v>
      </c>
      <c r="Q24" s="143">
        <v>2.8</v>
      </c>
    </row>
    <row r="25" spans="1:17" ht="15" customHeight="1" x14ac:dyDescent="0.25">
      <c r="A25" s="250" t="s">
        <v>169</v>
      </c>
      <c r="B25" s="250"/>
      <c r="C25" s="250"/>
      <c r="D25" s="250"/>
      <c r="E25" s="250"/>
      <c r="F25" s="250"/>
      <c r="G25" s="136"/>
    </row>
  </sheetData>
  <mergeCells count="12">
    <mergeCell ref="A25:F25"/>
    <mergeCell ref="F17:I17"/>
    <mergeCell ref="J17:M17"/>
    <mergeCell ref="A1:Q1"/>
    <mergeCell ref="N17:Q17"/>
    <mergeCell ref="N4:Q4"/>
    <mergeCell ref="B4:E4"/>
    <mergeCell ref="B17:E17"/>
    <mergeCell ref="B3:Q3"/>
    <mergeCell ref="F4:I4"/>
    <mergeCell ref="J4:M4"/>
    <mergeCell ref="B16:Q16"/>
  </mergeCells>
  <pageMargins left="0.7" right="0.7" top="0.75" bottom="0.75" header="0.3" footer="0.3"/>
  <pageSetup paperSize="9" scale="60" fitToHeight="0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Copertina</vt:lpstr>
      <vt:lpstr>Ateneo</vt:lpstr>
      <vt:lpstr>Dipartimenti</vt:lpstr>
      <vt:lpstr>CdS</vt:lpstr>
      <vt:lpstr>Strutture</vt:lpstr>
      <vt:lpstr>Strutture Dipartimenti</vt:lpstr>
      <vt:lpstr>Organizzazione esami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2024-06-11T11:43:29Z</dcterms:modified>
</cp:coreProperties>
</file>