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796A1E2E-AD5F-4D83-8854-9CD86B2D2AD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pertina" sheetId="6" r:id="rId1"/>
    <sheet name="Ateneo" sheetId="1" r:id="rId2"/>
    <sheet name="Dipartimenti" sheetId="4" r:id="rId3"/>
    <sheet name="CdS" sheetId="3" r:id="rId4"/>
    <sheet name="Grafici CdL" sheetId="8" r:id="rId5"/>
    <sheet name="Grafici CdLM e CdLM ciclo unico" sheetId="9" r:id="rId6"/>
    <sheet name="Strutture" sheetId="5" r:id="rId7"/>
    <sheet name="Organizzazione esami" sheetId="7" r:id="rId8"/>
  </sheets>
  <definedNames>
    <definedName name="_xlnm._FilterDatabase" localSheetId="3" hidden="1">CdS!$A$3:$N$90</definedName>
  </definedNames>
  <calcPr calcId="191029"/>
</workbook>
</file>

<file path=xl/calcChain.xml><?xml version="1.0" encoding="utf-8"?>
<calcChain xmlns="http://schemas.openxmlformats.org/spreadsheetml/2006/main">
  <c r="L54" i="3" l="1"/>
  <c r="J54" i="3"/>
  <c r="L87" i="3" l="1"/>
  <c r="J87" i="3"/>
  <c r="H87" i="3"/>
  <c r="L86" i="3"/>
  <c r="J86" i="3"/>
  <c r="H86" i="3"/>
  <c r="L84" i="3"/>
  <c r="J84" i="3"/>
  <c r="H84" i="3"/>
  <c r="L81" i="3"/>
  <c r="J81" i="3"/>
  <c r="H81" i="3"/>
  <c r="L80" i="3"/>
  <c r="J80" i="3"/>
  <c r="H80" i="3"/>
  <c r="L79" i="3"/>
  <c r="J79" i="3"/>
  <c r="H79" i="3"/>
  <c r="L78" i="3"/>
  <c r="J78" i="3"/>
  <c r="H78" i="3"/>
  <c r="L77" i="3"/>
  <c r="J77" i="3"/>
  <c r="H77" i="3"/>
  <c r="L76" i="3"/>
  <c r="J76" i="3"/>
  <c r="H76" i="3"/>
  <c r="L75" i="3"/>
  <c r="J75" i="3"/>
  <c r="H75" i="3"/>
  <c r="L74" i="3"/>
  <c r="J74" i="3"/>
  <c r="H74" i="3"/>
  <c r="L73" i="3"/>
  <c r="J73" i="3"/>
  <c r="H73" i="3"/>
  <c r="L72" i="3"/>
  <c r="J72" i="3"/>
  <c r="H72" i="3"/>
  <c r="L69" i="3"/>
  <c r="J69" i="3"/>
  <c r="H69" i="3"/>
  <c r="L66" i="3"/>
  <c r="J66" i="3"/>
  <c r="H66" i="3"/>
  <c r="L65" i="3"/>
  <c r="J65" i="3"/>
  <c r="H65" i="3"/>
  <c r="L64" i="3"/>
  <c r="J64" i="3"/>
  <c r="H64" i="3"/>
  <c r="L63" i="3"/>
  <c r="J63" i="3"/>
  <c r="H63" i="3"/>
  <c r="L62" i="3"/>
  <c r="J62" i="3"/>
  <c r="H62" i="3"/>
  <c r="L61" i="3"/>
  <c r="J61" i="3"/>
  <c r="H61" i="3"/>
  <c r="L60" i="3" l="1"/>
  <c r="J60" i="3"/>
  <c r="H60" i="3"/>
  <c r="L59" i="3" l="1"/>
  <c r="J59" i="3"/>
  <c r="H59" i="3"/>
  <c r="L56" i="3"/>
  <c r="J56" i="3"/>
  <c r="H56" i="3"/>
  <c r="L55" i="3"/>
  <c r="J55" i="3"/>
  <c r="H55" i="3"/>
  <c r="L53" i="3"/>
  <c r="J53" i="3"/>
  <c r="H53" i="3"/>
  <c r="L52" i="3"/>
  <c r="J52" i="3"/>
  <c r="H52" i="3"/>
  <c r="L51" i="3"/>
  <c r="J51" i="3"/>
  <c r="H51" i="3"/>
  <c r="L50" i="3"/>
  <c r="J50" i="3"/>
  <c r="H50" i="3"/>
  <c r="L49" i="3"/>
  <c r="J49" i="3"/>
  <c r="H49" i="3"/>
  <c r="L47" i="3"/>
  <c r="J47" i="3"/>
  <c r="H47" i="3"/>
  <c r="L46" i="3"/>
  <c r="J46" i="3"/>
  <c r="H46" i="3"/>
  <c r="L45" i="3"/>
  <c r="J45" i="3"/>
  <c r="H45" i="3"/>
  <c r="L44" i="3"/>
  <c r="J44" i="3"/>
  <c r="H44" i="3"/>
  <c r="L36" i="3"/>
  <c r="J36" i="3"/>
  <c r="H36" i="3"/>
  <c r="L35" i="3"/>
  <c r="J35" i="3"/>
  <c r="H35" i="3"/>
  <c r="L32" i="3"/>
  <c r="J32" i="3"/>
  <c r="H32" i="3"/>
  <c r="L31" i="3"/>
  <c r="J31" i="3"/>
  <c r="H31" i="3"/>
  <c r="L30" i="3"/>
  <c r="J30" i="3"/>
  <c r="H30" i="3"/>
  <c r="L29" i="3"/>
  <c r="J29" i="3"/>
  <c r="H29" i="3"/>
  <c r="L28" i="3"/>
  <c r="J28" i="3"/>
  <c r="H28" i="3"/>
  <c r="L27" i="3"/>
  <c r="J27" i="3"/>
  <c r="H27" i="3"/>
  <c r="L26" i="3"/>
  <c r="J26" i="3"/>
  <c r="H26" i="3"/>
  <c r="L23" i="3"/>
  <c r="J23" i="3"/>
  <c r="H23" i="3"/>
  <c r="L22" i="3"/>
  <c r="J22" i="3"/>
  <c r="H22" i="3"/>
  <c r="L19" i="3"/>
  <c r="J19" i="3"/>
  <c r="H19" i="3"/>
  <c r="L17" i="3"/>
  <c r="J17" i="3"/>
  <c r="H17" i="3"/>
  <c r="L13" i="3"/>
  <c r="J13" i="3"/>
  <c r="H13" i="3"/>
  <c r="L12" i="3"/>
  <c r="J12" i="3"/>
  <c r="H12" i="3"/>
  <c r="L10" i="3"/>
  <c r="J10" i="3"/>
  <c r="H10" i="3"/>
  <c r="L9" i="3"/>
  <c r="J9" i="3"/>
  <c r="H9" i="3"/>
  <c r="L8" i="3"/>
  <c r="J8" i="3"/>
  <c r="H8" i="3"/>
  <c r="L7" i="3"/>
  <c r="J7" i="3"/>
  <c r="H7" i="3"/>
  <c r="L34" i="3"/>
  <c r="J34" i="3"/>
  <c r="H34" i="3"/>
  <c r="L6" i="3" l="1"/>
  <c r="J6" i="3"/>
  <c r="H6" i="3"/>
  <c r="L33" i="3"/>
  <c r="J33" i="3"/>
  <c r="H33" i="3"/>
  <c r="L20" i="4" l="1"/>
  <c r="K20" i="4"/>
  <c r="M19" i="4"/>
  <c r="L19" i="4"/>
  <c r="K19" i="4"/>
  <c r="M18" i="4"/>
  <c r="L18" i="4"/>
  <c r="K18" i="4"/>
  <c r="M17" i="4"/>
  <c r="L17" i="4"/>
  <c r="K17" i="4"/>
  <c r="M16" i="4"/>
  <c r="L16" i="4"/>
  <c r="K16" i="4"/>
  <c r="M15" i="4"/>
  <c r="L15" i="4"/>
  <c r="K15" i="4"/>
  <c r="M14" i="4"/>
  <c r="L14" i="4"/>
  <c r="K14" i="4"/>
  <c r="M13" i="4"/>
  <c r="L13" i="4"/>
  <c r="K13" i="4"/>
  <c r="M12" i="4"/>
  <c r="L12" i="4"/>
  <c r="K12" i="4"/>
  <c r="M11" i="4"/>
  <c r="L11" i="4"/>
  <c r="K11" i="4"/>
  <c r="M10" i="4"/>
  <c r="L10" i="4"/>
  <c r="K10" i="4"/>
  <c r="M9" i="4"/>
  <c r="L9" i="4"/>
  <c r="K9" i="4"/>
  <c r="M8" i="4"/>
  <c r="L8" i="4"/>
  <c r="K8" i="4"/>
  <c r="M7" i="4"/>
  <c r="L7" i="4"/>
  <c r="K7" i="4"/>
  <c r="M6" i="4"/>
  <c r="L6" i="4"/>
  <c r="K6" i="4"/>
  <c r="M5" i="4"/>
  <c r="L5" i="4"/>
  <c r="K5" i="4"/>
  <c r="M4" i="4"/>
  <c r="L4" i="4"/>
  <c r="K4" i="4"/>
  <c r="J18" i="4" l="1"/>
  <c r="J17" i="4"/>
  <c r="J16" i="4"/>
  <c r="J15" i="4"/>
  <c r="J14" i="4"/>
  <c r="I18" i="4"/>
  <c r="I17" i="4"/>
  <c r="I16" i="4"/>
  <c r="I15" i="4"/>
  <c r="I14" i="4"/>
  <c r="H18" i="4"/>
  <c r="H17" i="4"/>
  <c r="H16" i="4"/>
  <c r="H15" i="4"/>
  <c r="H14" i="4"/>
  <c r="I13" i="4"/>
  <c r="I12" i="4"/>
  <c r="I10" i="4"/>
  <c r="I9" i="4"/>
  <c r="I8" i="4"/>
  <c r="H13" i="4"/>
  <c r="H12" i="4"/>
  <c r="H10" i="4"/>
  <c r="H9" i="4"/>
  <c r="H8" i="4"/>
  <c r="J13" i="4"/>
  <c r="J12" i="4"/>
  <c r="J10" i="4"/>
  <c r="J9" i="4"/>
  <c r="J8" i="4"/>
  <c r="J11" i="4"/>
  <c r="J7" i="4"/>
  <c r="J6" i="4"/>
  <c r="J5" i="4"/>
  <c r="J4" i="4"/>
  <c r="I11" i="4"/>
  <c r="I7" i="4"/>
  <c r="I6" i="4"/>
  <c r="I5" i="4"/>
  <c r="I4" i="4"/>
  <c r="H11" i="4"/>
  <c r="H7" i="4"/>
  <c r="H6" i="4"/>
  <c r="H5" i="4"/>
  <c r="H4" i="4"/>
  <c r="J19" i="4"/>
  <c r="I19" i="4"/>
  <c r="H19" i="4"/>
  <c r="J20" i="4"/>
  <c r="I20" i="4"/>
  <c r="H20" i="4"/>
</calcChain>
</file>

<file path=xl/sharedStrings.xml><?xml version="1.0" encoding="utf-8"?>
<sst xmlns="http://schemas.openxmlformats.org/spreadsheetml/2006/main" count="622" uniqueCount="235">
  <si>
    <t>Tipologia di laurea</t>
  </si>
  <si>
    <t>% femmine</t>
  </si>
  <si>
    <t>% cittadinanza straniera</t>
  </si>
  <si>
    <t>Unisi</t>
  </si>
  <si>
    <t>Nazionale</t>
  </si>
  <si>
    <t>% residenti altra regione</t>
  </si>
  <si>
    <t xml:space="preserve">Tutti i tipi di CdS </t>
  </si>
  <si>
    <t xml:space="preserve">Età media alla laurea </t>
  </si>
  <si>
    <t>Voto medio di laurea</t>
  </si>
  <si>
    <t>CdS per tipologia</t>
  </si>
  <si>
    <t>Corsi di Laurea  triennali</t>
  </si>
  <si>
    <t xml:space="preserve">Corsi di Laurea magistrale (biennali) </t>
  </si>
  <si>
    <t>Corsi di Laurea magistrale  a Ciclo unico</t>
  </si>
  <si>
    <t>Tasso di risposta (%)</t>
  </si>
  <si>
    <t>Sono complessivamente soddisfatti del CdS (%)</t>
  </si>
  <si>
    <t>Sono soddisfatti dei rapporti con i docenti in generale (%)</t>
  </si>
  <si>
    <t>Ritengono che il carico di studio degli insegnamenti sia stato sostenibile (%)</t>
  </si>
  <si>
    <t>Italia</t>
  </si>
  <si>
    <t>Si iscriverebbero di nuovo all'Università? (%)</t>
  </si>
  <si>
    <t>sì, allo stesso corso dell'Ateneo</t>
  </si>
  <si>
    <t>sì, ma ad un altro corso dell'Ateneo</t>
  </si>
  <si>
    <t>sì, allo stesso corso ma in un altro Ateneo</t>
  </si>
  <si>
    <t>sì, ma ad un altro corso in un altro Ateneo</t>
  </si>
  <si>
    <t>non si iscriverebbero più all'università</t>
  </si>
  <si>
    <t>Tab 4 Percentuali di risposta alla domanda "Si iscriverebbe di nuovo all'Università?" per anno di laurea confrontate con valore nazionale per tipologia di CdS</t>
  </si>
  <si>
    <t>Hanno svolto periodi di studio all'estero durante il CdS (%)</t>
  </si>
  <si>
    <t>di cui con Erasmus o altro programma dell'Unione Europea (%)</t>
  </si>
  <si>
    <t>Dipartimento</t>
  </si>
  <si>
    <t>Biotecnologie mediche</t>
  </si>
  <si>
    <t>Economia politica e Statistica</t>
  </si>
  <si>
    <t>Giurisprudenza</t>
  </si>
  <si>
    <t>Ingegneria dell’Informazione e Scienze matematiche</t>
  </si>
  <si>
    <t>Scienze della Vita</t>
  </si>
  <si>
    <t>Scienze mediche, chirurgiche e Neuroscienze</t>
  </si>
  <si>
    <t>Scienze storiche e dei Beni culturali</t>
  </si>
  <si>
    <t>Studi aziendali e giuridici</t>
  </si>
  <si>
    <t>Ateneo</t>
  </si>
  <si>
    <t>Biotecnologie, Chimica e Farmacia</t>
  </si>
  <si>
    <t>Scienze fisiche, della Terra e dell'Ambiente</t>
  </si>
  <si>
    <t>Scienze politiche e internazionali</t>
  </si>
  <si>
    <t>Scienze sociali, politiche e cognitive</t>
  </si>
  <si>
    <t>Medicina molecolare e dello Sviluppo</t>
  </si>
  <si>
    <t>Filologia e Critica delle Letterature antiche e moderne</t>
  </si>
  <si>
    <t>Scienze della Formazione, Scienze umane e della Comunicazione interculturale</t>
  </si>
  <si>
    <t>Sono complessivamente soddisfatti del CdL/CdLM (%)</t>
  </si>
  <si>
    <t>Nucleo di Valutazione Università degli Studi di Siena</t>
  </si>
  <si>
    <t>CdS</t>
  </si>
  <si>
    <t>Classe</t>
  </si>
  <si>
    <t>Si iscriverebbero di nuovo allo stesso Corso dello stesso Ateneo (%)</t>
  </si>
  <si>
    <t>Biotecnologie</t>
  </si>
  <si>
    <t>L-2</t>
  </si>
  <si>
    <t>L-14</t>
  </si>
  <si>
    <t>Dietistica (Abilitante alla Professione sanitaria di Dietista)</t>
  </si>
  <si>
    <t>L/SNT3</t>
  </si>
  <si>
    <t>Economia e Commercio</t>
  </si>
  <si>
    <t>L-18</t>
  </si>
  <si>
    <t>L-30</t>
  </si>
  <si>
    <t>Fisioterapia (Abilitante alla Professione sanitaria di Fisioterapista)</t>
  </si>
  <si>
    <t>L/SNT2</t>
  </si>
  <si>
    <t>L-34</t>
  </si>
  <si>
    <t>Igiene Dentale (Abilitante alla Professione sanitaria di Igienista dentale)</t>
  </si>
  <si>
    <t>Infermieristica (Abilitante alla Professione sanitaria di Infermiere)</t>
  </si>
  <si>
    <t>L/SNT1</t>
  </si>
  <si>
    <t>Ingegneria gestionale</t>
  </si>
  <si>
    <t>L-8</t>
  </si>
  <si>
    <t>Ingegneria informatica e dell'Informazione</t>
  </si>
  <si>
    <t>Lingue per la Comunicazione interculturale e d'Impresa</t>
  </si>
  <si>
    <t>L-11</t>
  </si>
  <si>
    <t>Logopedia (Abilitante alla Professione sanitaria di Logopedista)</t>
  </si>
  <si>
    <t>Matematica</t>
  </si>
  <si>
    <t>L-35</t>
  </si>
  <si>
    <t>Ortottica ed Assistenza oftalmologica (Abilitante alla Professione sanitaria di Ortottista ed Assistente di Oftalmologia)</t>
  </si>
  <si>
    <t>Ostetricia (Abilitante alla Professione Sanitaria di Ostetrica/o)</t>
  </si>
  <si>
    <t>Scienze ambientali e naturali</t>
  </si>
  <si>
    <t>L-32</t>
  </si>
  <si>
    <t>Scienze biologiche</t>
  </si>
  <si>
    <t>L-13</t>
  </si>
  <si>
    <t>Scienze chimiche</t>
  </si>
  <si>
    <t>L-27</t>
  </si>
  <si>
    <t>Scienze del Servizio sociale</t>
  </si>
  <si>
    <t>L-39</t>
  </si>
  <si>
    <t>Scienze della Comunicazione</t>
  </si>
  <si>
    <t>L-20</t>
  </si>
  <si>
    <t>Scienze dell'Educazione e della Formazione</t>
  </si>
  <si>
    <t>L-19</t>
  </si>
  <si>
    <t>Scienze economiche e bancarie</t>
  </si>
  <si>
    <t>L-33</t>
  </si>
  <si>
    <t>Scienze politiche</t>
  </si>
  <si>
    <t>L-36</t>
  </si>
  <si>
    <t>Scienze storiche e del Patrimonio culturale</t>
  </si>
  <si>
    <t>L-1</t>
  </si>
  <si>
    <t>Studi letterari e filosofici</t>
  </si>
  <si>
    <t>L-10</t>
  </si>
  <si>
    <t>Tecniche della Prevenzione nell'Ambiente e nei Luoghi di Lavoro (Abilitante alla Professione sanitaria di Tecnico della Prevenzione nell'Ambiente e nei Luoghi di Lavoro)</t>
  </si>
  <si>
    <t>L/SNT4</t>
  </si>
  <si>
    <t>Tecniche di Laboratorio Biomedico (Abilitante alla Professione sanitaria di Tecnico di Laboratorio biomedico)</t>
  </si>
  <si>
    <t>Antropologia e Linguaggi dell'Immagine</t>
  </si>
  <si>
    <t>LM-1</t>
  </si>
  <si>
    <t>Archeologia</t>
  </si>
  <si>
    <t>LM-2</t>
  </si>
  <si>
    <t>LM-6</t>
  </si>
  <si>
    <t>Biologia sanitaria</t>
  </si>
  <si>
    <t>Chemistry-Chimica</t>
  </si>
  <si>
    <t>LM-54</t>
  </si>
  <si>
    <t>Computer And Automation Engineering – Ingegneria Informatica e dell’Automazione</t>
  </si>
  <si>
    <t>LM-32</t>
  </si>
  <si>
    <t>Economia e Gestione degli Intermediari finanziari</t>
  </si>
  <si>
    <t>LM-77</t>
  </si>
  <si>
    <t>LM-56</t>
  </si>
  <si>
    <t>Ecotossicologia e Sostenibilità ambientale</t>
  </si>
  <si>
    <t>LM-75</t>
  </si>
  <si>
    <t>Electronics And communications Engineering - Ingegneria elettronica e delle Telecomunicazioni</t>
  </si>
  <si>
    <t>LM-27</t>
  </si>
  <si>
    <t>Finance - Finanza</t>
  </si>
  <si>
    <t>LM-16</t>
  </si>
  <si>
    <t>LM-74</t>
  </si>
  <si>
    <t>LM-31</t>
  </si>
  <si>
    <t xml:space="preserve">Languange and Mind: Linguistics and cognitive Studies - Mente e Linguaggio: linguistica e Studi cognitivi </t>
  </si>
  <si>
    <t>LM-39</t>
  </si>
  <si>
    <t>Lettere classiche</t>
  </si>
  <si>
    <t>LM-15</t>
  </si>
  <si>
    <t>Lettere moderne</t>
  </si>
  <si>
    <t>LM-14</t>
  </si>
  <si>
    <t>Management e Governance</t>
  </si>
  <si>
    <t>LM-40</t>
  </si>
  <si>
    <t>Medical Biotechnologies - Biotecnologie mediche</t>
  </si>
  <si>
    <t>LM-9</t>
  </si>
  <si>
    <t>LM-63</t>
  </si>
  <si>
    <t>Scienze infermieristiche e ostetriche</t>
  </si>
  <si>
    <t>LM/SNT1</t>
  </si>
  <si>
    <t>Scienze internazionali</t>
  </si>
  <si>
    <t>LM-52</t>
  </si>
  <si>
    <t>Scienze per la Formazione e la Consulenza pedagogica nelle Organizzazioni</t>
  </si>
  <si>
    <t>LM-85</t>
  </si>
  <si>
    <t>Scienze riabilitative delle Professioni sanitarie</t>
  </si>
  <si>
    <t>LM/SNT2</t>
  </si>
  <si>
    <t>Scienze statistiche per le Indagini campionarie</t>
  </si>
  <si>
    <t>LM-82</t>
  </si>
  <si>
    <t>Storia dell'Arte</t>
  </si>
  <si>
    <t>LM-89</t>
  </si>
  <si>
    <t>LM-92</t>
  </si>
  <si>
    <t>Chimica e Tecnologia farmaceutica</t>
  </si>
  <si>
    <t>LM-13</t>
  </si>
  <si>
    <t>Farmacia</t>
  </si>
  <si>
    <t>LMG/01</t>
  </si>
  <si>
    <t>Medicina e Chirurgia</t>
  </si>
  <si>
    <t>LM-41</t>
  </si>
  <si>
    <t>Scienze geologiche</t>
  </si>
  <si>
    <t>Biologia</t>
  </si>
  <si>
    <t xml:space="preserve">Applied Mathematics-Matematica applicata </t>
  </si>
  <si>
    <t xml:space="preserve">Hanno 1 o più esami all'estero convalidati (per 100 che hanno svolto esperienze di studio all'estero riconosciute dal CdS) </t>
  </si>
  <si>
    <t>Valutazione delle aule (per 100 fruitori)</t>
  </si>
  <si>
    <t>Sempre o quasi sempre adeguate</t>
  </si>
  <si>
    <t xml:space="preserve">Spesso adeguate </t>
  </si>
  <si>
    <t xml:space="preserve">Sempre o quasi sempre adeguate </t>
  </si>
  <si>
    <t>Valutazione delle postazioni informatiche (per 100 fruitori)</t>
  </si>
  <si>
    <t>In numero adeguato</t>
  </si>
  <si>
    <t xml:space="preserve">In numero inadeguato </t>
  </si>
  <si>
    <t>Valutazione dei servizi di biblioteca (per 100 fruitori)</t>
  </si>
  <si>
    <t xml:space="preserve">Decisamente positiva </t>
  </si>
  <si>
    <t xml:space="preserve">Abbastanza positiva </t>
  </si>
  <si>
    <t>Decisamente positiva</t>
  </si>
  <si>
    <t>Valutazione delle attrezzature per le altre attività didattiche (laboratori, attività pratiche, …) (per 100 fruitori)</t>
  </si>
  <si>
    <t>Hanno ritenuto l'organizzazione degli esami (appelli, orari, informazioni, prenotazioni, ...) soddisfacente (%)</t>
  </si>
  <si>
    <t>Sempre o quasi sempre</t>
  </si>
  <si>
    <t>Per più della metà degli esami</t>
  </si>
  <si>
    <t>Per meno della metà degli esami</t>
  </si>
  <si>
    <t>Fisica e Tecnologie avanzate</t>
  </si>
  <si>
    <t>Geoscienze e Geologia applicata</t>
  </si>
  <si>
    <t>LM-81</t>
  </si>
  <si>
    <t>Scienze delle Amministrazioni</t>
  </si>
  <si>
    <t>LM-84</t>
  </si>
  <si>
    <t xml:space="preserve">LM-78 </t>
  </si>
  <si>
    <t>Storia e Filosofia (interclasse)</t>
  </si>
  <si>
    <t>Pubblic and cultural Diplomacy - Diplomazia pubblica e culturale</t>
  </si>
  <si>
    <t>Strategie e Tecniche della Comunicazione</t>
  </si>
  <si>
    <t>Tecniche di Fisiopatologia Cardiocircolatoria e Perfusione cardiovascolare (Abilitante alla Professione sanitaria di Tecnico di Fisiopatologia cardiocircolatoria e Perfusione cardiovascolare)</t>
  </si>
  <si>
    <t>Fonte: AlmaLaurea</t>
  </si>
  <si>
    <t>Mai o quasi mai</t>
  </si>
  <si>
    <t>Genetic Counsellors</t>
  </si>
  <si>
    <t>International Accounting and Management</t>
  </si>
  <si>
    <t>Biotechnologies of Human Reproduction</t>
  </si>
  <si>
    <t xml:space="preserve">Engineering management </t>
  </si>
  <si>
    <t>Ritengono che il carico di studio degli insegnamenti adeguato alla durata del CdS (%)</t>
  </si>
  <si>
    <t>Tutti i tipi di CdS*</t>
  </si>
  <si>
    <t>*Per Unisi le elaborazioni sono al netto dei laureati nei CdS del vecchio ordinamento che invece sono conteggiati nel valore nazionale</t>
  </si>
  <si>
    <t xml:space="preserve">Tutti i tipi di CdS* </t>
  </si>
  <si>
    <t>Tutti i tipi di CdS *</t>
  </si>
  <si>
    <t>Relazione annuale 2023 dei Nuclei di Valutazione interna (D. Lgs. 19/2012, art. 12 e art. 14)</t>
  </si>
  <si>
    <t>Numero laureati 2021</t>
  </si>
  <si>
    <t>Tab 3: Tasso di risposta al questionario Profilo Laureati 2021 AlmaLaurea e percentuali di giudizi positivi (decisamente sì + più sì che no) ad alcuni quesiti confrontati con valore nazionale per tipologia di CdS</t>
  </si>
  <si>
    <t>Servizi giuridici</t>
  </si>
  <si>
    <t>Tabella 8: Valutazione delle strutture dell'Ateneo e confronto con valore nazionale laureandi quadriennio 2018-2021</t>
  </si>
  <si>
    <t xml:space="preserve">Tabella 1: Profilo laureate/i anno solare 2021 per tipologia di laurea </t>
  </si>
  <si>
    <t>Numero laureate/i</t>
  </si>
  <si>
    <t>% laureate/i in corso</t>
  </si>
  <si>
    <t>Tabella 2: Andamento laureate/i anno solare 2021 per tipologia di laurea</t>
  </si>
  <si>
    <t>Tabella 5: Adesione a programmi di mobilità internazionale laureande/i quariennio 2018 - 2021 per tipologia di laurea</t>
  </si>
  <si>
    <t>Laureande/i 2021</t>
  </si>
  <si>
    <t>Laureande/i 2020</t>
  </si>
  <si>
    <t>Laureande/i 2019</t>
  </si>
  <si>
    <t>Laureande/i 2018</t>
  </si>
  <si>
    <t>Tabella 6: Percentuali di giudizi positivi (decisamente sì + più sì che no) ad alcuni quesiti laureande/i quadriennio 2018-2021 per Dipartimento</t>
  </si>
  <si>
    <t>Tabella 9: Valutazione dell'organizzazione degli esami per Dipartimento laureande/i Unisi quadriennio 2018-2021</t>
  </si>
  <si>
    <t>Laureade/i 2019</t>
  </si>
  <si>
    <t>Agribusiness</t>
  </si>
  <si>
    <t>L-25</t>
  </si>
  <si>
    <t xml:space="preserve">Tabella 7: Tasso di risposta al questionario Profilo Laureati AlmaLaurea laureate/i 2021 e percentuali di giudizi positivi (decisamente sì + più sì che no) ad alcuni quesiti per Corso di Studio, confrontati con il valore nazionale della classe </t>
  </si>
  <si>
    <t>Tecniche di Radiologia medica, per Immagini e Radioterapia (Abilitante alla Professione sanitaria di Tecnico di Radiologia medica)</t>
  </si>
  <si>
    <t>Economia per l'Ambiente e la Sostenibilità**</t>
  </si>
  <si>
    <t>**Nuova denominazione dall'offerta formativa a.a. 2019/2020 del CdS "Economia/Economics"</t>
  </si>
  <si>
    <t>Economics*</t>
  </si>
  <si>
    <t>n.d.</t>
  </si>
  <si>
    <t>* I dati non vengono visualizzati per collettivi con meno di 5 laureati. Il CdS in Economics è una nuova istituzione dell'offerta formativa a.a. 2019/2020 e questo spiega la presenza di un solo laureato.</t>
  </si>
  <si>
    <t>Allegato statistico rilevazione opinione laureande e laureandi</t>
  </si>
  <si>
    <t xml:space="preserve">Legenda </t>
  </si>
  <si>
    <t>L/SNT2 Fisioterapia (Abilitante alla Professione sanitaria di Fisioterapista)</t>
  </si>
  <si>
    <t>L/SNT2* Logopedia (Abilitante alla Professione sanitaria di Logopedista)</t>
  </si>
  <si>
    <t>L/SNT3# Igiene Dentale (Abilitante alla Professione sanitaria di Igienista dentale)</t>
  </si>
  <si>
    <t>L/SNT3* Dietistica (Abilitante alla Professione sanitaria di Dietista)</t>
  </si>
  <si>
    <t>L/SNT3** Tecniche di Laboratorio Biomedico (Abilitante alla Professione sanitaria di Tecnico di Laboratorio biomedico)</t>
  </si>
  <si>
    <t>L/SNT1* Ostetricia (Abilitante alla Professione Sanitaria di Ostetrica/o)</t>
  </si>
  <si>
    <t>L/SNT1 Infermieristica (Abilitante alla Professione sanitaria di Infermiere)</t>
  </si>
  <si>
    <t>L-8* Ingegneria gestionale</t>
  </si>
  <si>
    <r>
      <t xml:space="preserve">● </t>
    </r>
    <r>
      <rPr>
        <sz val="11"/>
        <rFont val="Calibri"/>
        <family val="2"/>
        <scheme val="minor"/>
      </rPr>
      <t>Unisi</t>
    </r>
  </si>
  <si>
    <r>
      <t>●</t>
    </r>
    <r>
      <rPr>
        <sz val="11"/>
        <rFont val="Calibri"/>
        <family val="2"/>
        <scheme val="minor"/>
      </rPr>
      <t xml:space="preserve"> Nazionale </t>
    </r>
  </si>
  <si>
    <t>L-8 Ingegneria informatica e dell'Informazione</t>
  </si>
  <si>
    <t>LM-13 Farmacia</t>
  </si>
  <si>
    <t>LM-6* Biologia</t>
  </si>
  <si>
    <t>LM-6 Biologia sanitaria</t>
  </si>
  <si>
    <t>LM-9 Biotechnologies of Human Reproduction</t>
  </si>
  <si>
    <t>LM-77* Economia e Gestione degli Intermediari finanziari</t>
  </si>
  <si>
    <t>LM-77 International Accounting and Management</t>
  </si>
  <si>
    <t>LM-13* Chimica e Tecnologia farmaceutiche</t>
  </si>
  <si>
    <t>LM-9* Genetic Counsellors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</si>
</sst>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/>
    <xf numFmtId="0" fontId="12" fillId="3" borderId="0" applyNumberFormat="0" applyBorder="0" applyAlignment="0" applyProtection="0"/>
  </cellStyleXfs>
  <cellXfs count="289">
    <xf numFmtId="0" fontId="0" fillId="0" borderId="0" xfId="0"/>
    <xf numFmtId="0" fontId="0" fillId="0" borderId="0" xfId="0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8" xfId="0" applyNumberFormat="1" applyFont="1" applyBorder="1" applyAlignment="1">
      <alignment horizontal="right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1" fillId="0" borderId="10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right"/>
    </xf>
    <xf numFmtId="164" fontId="0" fillId="0" borderId="0" xfId="0" applyNumberFormat="1" applyBorder="1"/>
    <xf numFmtId="0" fontId="0" fillId="0" borderId="7" xfId="0" applyBorder="1"/>
    <xf numFmtId="0" fontId="0" fillId="0" borderId="15" xfId="0" applyBorder="1"/>
    <xf numFmtId="0" fontId="0" fillId="0" borderId="6" xfId="0" applyBorder="1"/>
    <xf numFmtId="0" fontId="1" fillId="0" borderId="0" xfId="0" applyFont="1" applyBorder="1" applyAlignment="1">
      <alignment horizontal="right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1" xfId="0" applyBorder="1"/>
    <xf numFmtId="0" fontId="1" fillId="0" borderId="10" xfId="0" applyFont="1" applyBorder="1" applyAlignment="1">
      <alignment horizontal="center" vertical="center" wrapText="1"/>
    </xf>
    <xf numFmtId="0" fontId="0" fillId="0" borderId="14" xfId="0" applyBorder="1"/>
    <xf numFmtId="164" fontId="1" fillId="0" borderId="8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2" xfId="0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0" fillId="0" borderId="1" xfId="0" applyFill="1" applyBorder="1"/>
    <xf numFmtId="0" fontId="1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Fill="1"/>
    <xf numFmtId="164" fontId="1" fillId="0" borderId="10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4" fontId="0" fillId="0" borderId="6" xfId="0" applyNumberFormat="1" applyBorder="1"/>
    <xf numFmtId="164" fontId="0" fillId="0" borderId="15" xfId="0" applyNumberFormat="1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Fill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164" fontId="1" fillId="0" borderId="8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0" fillId="0" borderId="0" xfId="0" applyNumberFormat="1"/>
    <xf numFmtId="164" fontId="4" fillId="0" borderId="10" xfId="0" applyNumberFormat="1" applyFont="1" applyFill="1" applyBorder="1" applyAlignment="1"/>
    <xf numFmtId="164" fontId="0" fillId="0" borderId="0" xfId="0" applyNumberFormat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0" fillId="0" borderId="11" xfId="0" applyNumberForma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164" fontId="11" fillId="0" borderId="7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4" fontId="4" fillId="0" borderId="10" xfId="0" applyNumberFormat="1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12" xfId="0" applyFill="1" applyBorder="1" applyAlignment="1">
      <alignment horizontal="right" vertical="center"/>
    </xf>
    <xf numFmtId="164" fontId="0" fillId="0" borderId="12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 wrapText="1"/>
    </xf>
    <xf numFmtId="0" fontId="0" fillId="0" borderId="14" xfId="0" applyFill="1" applyBorder="1" applyAlignment="1">
      <alignment horizontal="right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13" xfId="0" applyFill="1" applyBorder="1" applyAlignment="1">
      <alignment horizontal="right" vertical="center"/>
    </xf>
    <xf numFmtId="164" fontId="0" fillId="0" borderId="5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vertical="center"/>
    </xf>
    <xf numFmtId="0" fontId="0" fillId="0" borderId="13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3" fontId="2" fillId="0" borderId="11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64" fontId="0" fillId="0" borderId="0" xfId="0" applyNumberFormat="1" applyFill="1" applyBorder="1" applyAlignment="1">
      <alignment vertical="center" wrapText="1"/>
    </xf>
    <xf numFmtId="3" fontId="12" fillId="3" borderId="0" xfId="2" applyNumberFormat="1" applyBorder="1" applyAlignment="1">
      <alignment vertical="center"/>
    </xf>
    <xf numFmtId="3" fontId="12" fillId="3" borderId="12" xfId="2" applyNumberFormat="1" applyBorder="1" applyAlignment="1">
      <alignment vertical="center"/>
    </xf>
    <xf numFmtId="164" fontId="12" fillId="3" borderId="0" xfId="2" applyNumberFormat="1" applyBorder="1" applyAlignment="1">
      <alignment vertical="center"/>
    </xf>
    <xf numFmtId="164" fontId="12" fillId="3" borderId="0" xfId="2" applyNumberFormat="1" applyAlignment="1">
      <alignment vertical="center"/>
    </xf>
    <xf numFmtId="164" fontId="12" fillId="3" borderId="12" xfId="2" applyNumberFormat="1" applyBorder="1" applyAlignment="1">
      <alignment vertical="center"/>
    </xf>
    <xf numFmtId="164" fontId="12" fillId="3" borderId="0" xfId="2" applyNumberFormat="1" applyBorder="1" applyAlignment="1">
      <alignment horizontal="right" vertical="center"/>
    </xf>
    <xf numFmtId="164" fontId="12" fillId="3" borderId="7" xfId="2" applyNumberFormat="1" applyBorder="1" applyAlignment="1">
      <alignment horizontal="right" vertical="center"/>
    </xf>
    <xf numFmtId="164" fontId="12" fillId="3" borderId="15" xfId="2" applyNumberFormat="1" applyBorder="1" applyAlignment="1">
      <alignment horizontal="right" vertical="center"/>
    </xf>
    <xf numFmtId="164" fontId="0" fillId="0" borderId="11" xfId="0" applyNumberFormat="1" applyFill="1" applyBorder="1" applyAlignment="1">
      <alignment horizontal="right" vertical="center"/>
    </xf>
    <xf numFmtId="164" fontId="0" fillId="0" borderId="11" xfId="0" applyNumberFormat="1" applyFill="1" applyBorder="1" applyAlignment="1">
      <alignment vertical="center" wrapText="1"/>
    </xf>
    <xf numFmtId="164" fontId="0" fillId="0" borderId="14" xfId="0" applyNumberFormat="1" applyFill="1" applyBorder="1" applyAlignment="1">
      <alignment horizontal="right" vertical="center"/>
    </xf>
    <xf numFmtId="164" fontId="12" fillId="3" borderId="7" xfId="2" applyNumberFormat="1" applyBorder="1" applyAlignment="1">
      <alignment vertical="center"/>
    </xf>
    <xf numFmtId="164" fontId="12" fillId="3" borderId="15" xfId="2" applyNumberFormat="1" applyBorder="1" applyAlignment="1">
      <alignment vertical="center"/>
    </xf>
    <xf numFmtId="164" fontId="3" fillId="0" borderId="8" xfId="0" applyNumberFormat="1" applyFont="1" applyFill="1" applyBorder="1" applyAlignment="1">
      <alignment horizontal="center" vertical="center" wrapText="1"/>
    </xf>
    <xf numFmtId="164" fontId="0" fillId="0" borderId="14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horizontal="right" vertical="center"/>
    </xf>
    <xf numFmtId="164" fontId="3" fillId="0" borderId="9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right"/>
    </xf>
    <xf numFmtId="3" fontId="12" fillId="3" borderId="0" xfId="2" applyNumberFormat="1" applyBorder="1" applyAlignment="1">
      <alignment horizontal="right" vertical="center"/>
    </xf>
    <xf numFmtId="164" fontId="12" fillId="3" borderId="6" xfId="2" applyNumberForma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12" fillId="3" borderId="5" xfId="2" applyNumberFormat="1" applyBorder="1" applyAlignment="1">
      <alignment horizontal="right" vertical="center"/>
    </xf>
    <xf numFmtId="0" fontId="12" fillId="3" borderId="0" xfId="2" applyBorder="1" applyAlignment="1">
      <alignment vertical="center"/>
    </xf>
    <xf numFmtId="0" fontId="12" fillId="3" borderId="0" xfId="2" applyAlignment="1">
      <alignment vertical="center"/>
    </xf>
    <xf numFmtId="0" fontId="12" fillId="3" borderId="7" xfId="2" applyBorder="1" applyAlignment="1">
      <alignment vertical="center"/>
    </xf>
    <xf numFmtId="164" fontId="12" fillId="3" borderId="6" xfId="2" applyNumberFormat="1" applyBorder="1" applyAlignment="1">
      <alignment vertical="center"/>
    </xf>
    <xf numFmtId="0" fontId="12" fillId="3" borderId="15" xfId="2" applyBorder="1" applyAlignment="1">
      <alignment vertical="center"/>
    </xf>
    <xf numFmtId="164" fontId="0" fillId="0" borderId="0" xfId="0" quotePrefix="1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4" fontId="0" fillId="0" borderId="11" xfId="0" quotePrefix="1" applyNumberForma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3" fontId="0" fillId="0" borderId="0" xfId="0" applyNumberFormat="1" applyBorder="1"/>
    <xf numFmtId="0" fontId="0" fillId="0" borderId="9" xfId="0" applyBorder="1"/>
    <xf numFmtId="164" fontId="0" fillId="0" borderId="6" xfId="0" applyNumberFormat="1" applyFill="1" applyBorder="1" applyAlignment="1">
      <alignment vertical="center"/>
    </xf>
    <xf numFmtId="0" fontId="0" fillId="0" borderId="5" xfId="0" applyBorder="1"/>
    <xf numFmtId="0" fontId="0" fillId="0" borderId="15" xfId="0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3" fontId="4" fillId="3" borderId="10" xfId="2" applyNumberFormat="1" applyFont="1" applyBorder="1" applyAlignment="1">
      <alignment horizontal="right"/>
    </xf>
    <xf numFmtId="165" fontId="4" fillId="3" borderId="10" xfId="2" applyNumberFormat="1" applyFont="1" applyBorder="1" applyAlignment="1">
      <alignment horizontal="right"/>
    </xf>
    <xf numFmtId="164" fontId="4" fillId="3" borderId="10" xfId="2" applyNumberFormat="1" applyFont="1" applyBorder="1" applyAlignment="1">
      <alignment horizontal="right"/>
    </xf>
    <xf numFmtId="164" fontId="4" fillId="3" borderId="9" xfId="2" applyNumberFormat="1" applyFont="1" applyBorder="1" applyAlignment="1">
      <alignment horizontal="right"/>
    </xf>
    <xf numFmtId="164" fontId="4" fillId="3" borderId="9" xfId="2" applyNumberFormat="1" applyFont="1" applyBorder="1" applyAlignment="1"/>
    <xf numFmtId="164" fontId="12" fillId="0" borderId="0" xfId="2" applyNumberFormat="1" applyFill="1" applyBorder="1" applyAlignment="1">
      <alignment horizontal="right"/>
    </xf>
    <xf numFmtId="164" fontId="0" fillId="0" borderId="15" xfId="0" applyNumberFormat="1" applyFill="1" applyBorder="1" applyAlignment="1">
      <alignment vertical="center"/>
    </xf>
    <xf numFmtId="0" fontId="0" fillId="0" borderId="13" xfId="0" applyBorder="1"/>
    <xf numFmtId="164" fontId="0" fillId="0" borderId="13" xfId="0" applyNumberFormat="1" applyBorder="1"/>
    <xf numFmtId="164" fontId="0" fillId="0" borderId="14" xfId="0" applyNumberFormat="1" applyBorder="1"/>
    <xf numFmtId="0" fontId="4" fillId="0" borderId="3" xfId="0" applyFont="1" applyBorder="1"/>
    <xf numFmtId="3" fontId="0" fillId="0" borderId="0" xfId="0" applyNumberFormat="1"/>
    <xf numFmtId="164" fontId="4" fillId="0" borderId="10" xfId="0" applyNumberFormat="1" applyFont="1" applyFill="1" applyBorder="1"/>
    <xf numFmtId="164" fontId="4" fillId="0" borderId="9" xfId="0" applyNumberFormat="1" applyFont="1" applyFill="1" applyBorder="1"/>
    <xf numFmtId="3" fontId="12" fillId="3" borderId="7" xfId="2" applyNumberFormat="1" applyBorder="1" applyAlignment="1">
      <alignment vertical="center"/>
    </xf>
    <xf numFmtId="3" fontId="12" fillId="3" borderId="15" xfId="2" applyNumberFormat="1" applyBorder="1" applyAlignment="1">
      <alignment vertical="center"/>
    </xf>
    <xf numFmtId="164" fontId="4" fillId="3" borderId="10" xfId="2" applyNumberFormat="1" applyFont="1" applyBorder="1" applyAlignment="1"/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6" fillId="0" borderId="0" xfId="0" applyFont="1" applyFill="1"/>
    <xf numFmtId="0" fontId="0" fillId="0" borderId="11" xfId="0" applyFill="1" applyBorder="1"/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/>
    </xf>
    <xf numFmtId="164" fontId="4" fillId="0" borderId="12" xfId="0" applyNumberFormat="1" applyFont="1" applyFill="1" applyBorder="1"/>
    <xf numFmtId="164" fontId="0" fillId="0" borderId="5" xfId="0" applyNumberFormat="1" applyFill="1" applyBorder="1" applyAlignment="1">
      <alignment vertical="center"/>
    </xf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0" fillId="0" borderId="12" xfId="0" applyBorder="1"/>
    <xf numFmtId="164" fontId="4" fillId="3" borderId="0" xfId="2" applyNumberFormat="1" applyFont="1" applyAlignment="1">
      <alignment vertical="center"/>
    </xf>
    <xf numFmtId="164" fontId="4" fillId="3" borderId="12" xfId="2" applyNumberFormat="1" applyFont="1" applyBorder="1" applyAlignment="1">
      <alignment vertical="center"/>
    </xf>
    <xf numFmtId="164" fontId="4" fillId="3" borderId="15" xfId="2" applyNumberFormat="1" applyFont="1" applyBorder="1" applyAlignment="1">
      <alignment vertical="center"/>
    </xf>
    <xf numFmtId="164" fontId="4" fillId="3" borderId="10" xfId="2" applyNumberFormat="1" applyFont="1" applyBorder="1" applyAlignment="1">
      <alignment vertical="center"/>
    </xf>
    <xf numFmtId="164" fontId="4" fillId="3" borderId="9" xfId="2" applyNumberFormat="1" applyFont="1" applyBorder="1" applyAlignment="1">
      <alignment vertical="center"/>
    </xf>
    <xf numFmtId="164" fontId="12" fillId="3" borderId="5" xfId="2" applyNumberFormat="1" applyBorder="1" applyAlignment="1">
      <alignment vertical="center"/>
    </xf>
    <xf numFmtId="0" fontId="0" fillId="4" borderId="0" xfId="0" applyFill="1"/>
    <xf numFmtId="0" fontId="8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/>
    </xf>
    <xf numFmtId="164" fontId="0" fillId="3" borderId="15" xfId="2" applyNumberFormat="1" applyFont="1" applyBorder="1" applyAlignment="1">
      <alignment horizontal="right" vertical="center"/>
    </xf>
    <xf numFmtId="0" fontId="4" fillId="0" borderId="0" xfId="0" applyFont="1"/>
    <xf numFmtId="0" fontId="4" fillId="0" borderId="15" xfId="0" applyFont="1" applyBorder="1"/>
    <xf numFmtId="164" fontId="4" fillId="0" borderId="11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8" xfId="0" applyFont="1" applyFill="1" applyBorder="1"/>
    <xf numFmtId="164" fontId="4" fillId="0" borderId="8" xfId="0" applyNumberFormat="1" applyFont="1" applyFill="1" applyBorder="1"/>
    <xf numFmtId="0" fontId="4" fillId="0" borderId="8" xfId="0" applyFont="1" applyFill="1" applyBorder="1" applyAlignment="1">
      <alignment vertical="center"/>
    </xf>
    <xf numFmtId="164" fontId="0" fillId="0" borderId="1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3" fontId="12" fillId="3" borderId="0" xfId="2" applyNumberFormat="1" applyBorder="1" applyAlignment="1">
      <alignment vertical="center"/>
    </xf>
    <xf numFmtId="164" fontId="12" fillId="3" borderId="0" xfId="2" applyNumberFormat="1" applyBorder="1" applyAlignment="1">
      <alignment vertical="center"/>
    </xf>
    <xf numFmtId="164" fontId="12" fillId="3" borderId="7" xfId="2" applyNumberFormat="1" applyBorder="1" applyAlignment="1">
      <alignment horizontal="right" vertical="center"/>
    </xf>
    <xf numFmtId="164" fontId="0" fillId="0" borderId="11" xfId="0" applyNumberFormat="1" applyFill="1" applyBorder="1" applyAlignment="1">
      <alignment horizontal="right" vertical="center"/>
    </xf>
    <xf numFmtId="164" fontId="12" fillId="3" borderId="7" xfId="2" applyNumberFormat="1" applyBorder="1" applyAlignment="1">
      <alignment vertical="center"/>
    </xf>
    <xf numFmtId="0" fontId="3" fillId="0" borderId="0" xfId="0" applyFont="1" applyFill="1" applyBorder="1" applyAlignment="1"/>
    <xf numFmtId="0" fontId="17" fillId="4" borderId="0" xfId="0" applyFont="1" applyFill="1"/>
    <xf numFmtId="164" fontId="0" fillId="0" borderId="11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4" fillId="0" borderId="12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wrapText="1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right" vertical="center"/>
    </xf>
    <xf numFmtId="164" fontId="0" fillId="0" borderId="11" xfId="0" applyNumberForma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wrapText="1"/>
    </xf>
    <xf numFmtId="0" fontId="0" fillId="0" borderId="3" xfId="0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</cellXfs>
  <cellStyles count="3">
    <cellStyle name="20% - Colore 1" xfId="2" builtinId="30"/>
    <cellStyle name="Normale" xfId="0" builtinId="0"/>
    <cellStyle name="Normale 3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0</xdr:rowOff>
    </xdr:from>
    <xdr:to>
      <xdr:col>9</xdr:col>
      <xdr:colOff>400050</xdr:colOff>
      <xdr:row>6</xdr:row>
      <xdr:rowOff>79248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0"/>
          <a:ext cx="3048000" cy="1222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95250</xdr:rowOff>
    </xdr:from>
    <xdr:to>
      <xdr:col>5</xdr:col>
      <xdr:colOff>1104450</xdr:colOff>
      <xdr:row>11</xdr:row>
      <xdr:rowOff>75750</xdr:rowOff>
    </xdr:to>
    <xdr:pic>
      <xdr:nvPicPr>
        <xdr:cNvPr id="3" name="Immagine 2" descr="Immagine che contiene grafico&#10;&#10;Descrizione generata automaticamente">
          <a:extLst>
            <a:ext uri="{FF2B5EF4-FFF2-40B4-BE49-F238E27FC236}">
              <a16:creationId xmlns:a16="http://schemas.microsoft.com/office/drawing/2014/main" id="{4B50F170-C984-4A02-81ED-2EA5B0E7611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95250"/>
          <a:ext cx="3600000" cy="36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13</xdr:row>
      <xdr:rowOff>104775</xdr:rowOff>
    </xdr:from>
    <xdr:to>
      <xdr:col>5</xdr:col>
      <xdr:colOff>1123500</xdr:colOff>
      <xdr:row>32</xdr:row>
      <xdr:rowOff>85275</xdr:rowOff>
    </xdr:to>
    <xdr:pic>
      <xdr:nvPicPr>
        <xdr:cNvPr id="4" name="Immagine 3" descr="Immagine che contiene grafico&#10;&#10;Descrizione generata automaticamente">
          <a:extLst>
            <a:ext uri="{FF2B5EF4-FFF2-40B4-BE49-F238E27FC236}">
              <a16:creationId xmlns:a16="http://schemas.microsoft.com/office/drawing/2014/main" id="{67E54AE2-5706-408C-9DAB-929D8133835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4105275"/>
          <a:ext cx="3600000" cy="36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33</xdr:row>
      <xdr:rowOff>95250</xdr:rowOff>
    </xdr:from>
    <xdr:to>
      <xdr:col>6</xdr:col>
      <xdr:colOff>37650</xdr:colOff>
      <xdr:row>52</xdr:row>
      <xdr:rowOff>75750</xdr:rowOff>
    </xdr:to>
    <xdr:pic>
      <xdr:nvPicPr>
        <xdr:cNvPr id="5" name="Immagine 4" descr="Immagine che contiene grafico&#10;&#10;Descrizione generata automaticamente">
          <a:extLst>
            <a:ext uri="{FF2B5EF4-FFF2-40B4-BE49-F238E27FC236}">
              <a16:creationId xmlns:a16="http://schemas.microsoft.com/office/drawing/2014/main" id="{FD956382-84F4-4698-ACB1-575E658F235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905750"/>
          <a:ext cx="3600000" cy="36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53</xdr:row>
      <xdr:rowOff>95249</xdr:rowOff>
    </xdr:from>
    <xdr:to>
      <xdr:col>5</xdr:col>
      <xdr:colOff>1171125</xdr:colOff>
      <xdr:row>72</xdr:row>
      <xdr:rowOff>75749</xdr:rowOff>
    </xdr:to>
    <xdr:pic>
      <xdr:nvPicPr>
        <xdr:cNvPr id="6" name="Immagine 5" descr="Immagine che contiene grafico&#10;&#10;Descrizione generata automaticamente">
          <a:extLst>
            <a:ext uri="{FF2B5EF4-FFF2-40B4-BE49-F238E27FC236}">
              <a16:creationId xmlns:a16="http://schemas.microsoft.com/office/drawing/2014/main" id="{B677B593-1953-4238-A7D2-A2B42DBFA49C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1715749"/>
          <a:ext cx="3600000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552000</xdr:colOff>
      <xdr:row>18</xdr:row>
      <xdr:rowOff>171000</xdr:rowOff>
    </xdr:to>
    <xdr:pic>
      <xdr:nvPicPr>
        <xdr:cNvPr id="2" name="Immagine 1" descr="Immagine che contiene grafico&#10;&#10;Descrizione generata automaticamente">
          <a:extLst>
            <a:ext uri="{FF2B5EF4-FFF2-40B4-BE49-F238E27FC236}">
              <a16:creationId xmlns:a16="http://schemas.microsoft.com/office/drawing/2014/main" id="{ACDE0779-DA00-4EB0-B9BE-3AEC1D37B05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00000" cy="36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28575</xdr:rowOff>
    </xdr:from>
    <xdr:to>
      <xdr:col>5</xdr:col>
      <xdr:colOff>361500</xdr:colOff>
      <xdr:row>39</xdr:row>
      <xdr:rowOff>9075</xdr:rowOff>
    </xdr:to>
    <xdr:pic>
      <xdr:nvPicPr>
        <xdr:cNvPr id="3" name="Immagine 2" descr="Immagine che contiene grafico&#10;&#10;Descrizione generata automaticamente">
          <a:extLst>
            <a:ext uri="{FF2B5EF4-FFF2-40B4-BE49-F238E27FC236}">
              <a16:creationId xmlns:a16="http://schemas.microsoft.com/office/drawing/2014/main" id="{097E5CDC-B00F-4D11-9EC1-3D3EF9B2F35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38575"/>
          <a:ext cx="3600000" cy="36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95250</xdr:rowOff>
    </xdr:from>
    <xdr:to>
      <xdr:col>5</xdr:col>
      <xdr:colOff>552000</xdr:colOff>
      <xdr:row>59</xdr:row>
      <xdr:rowOff>75750</xdr:rowOff>
    </xdr:to>
    <xdr:pic>
      <xdr:nvPicPr>
        <xdr:cNvPr id="5" name="Immagine 4" descr="Immagine che contiene grafico&#10;&#10;Descrizione generata automaticamente">
          <a:extLst>
            <a:ext uri="{FF2B5EF4-FFF2-40B4-BE49-F238E27FC236}">
              <a16:creationId xmlns:a16="http://schemas.microsoft.com/office/drawing/2014/main" id="{C959FCE7-0B19-4199-84F8-9E245A7589D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15250"/>
          <a:ext cx="3600000" cy="36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117475</xdr:rowOff>
    </xdr:from>
    <xdr:to>
      <xdr:col>5</xdr:col>
      <xdr:colOff>552000</xdr:colOff>
      <xdr:row>79</xdr:row>
      <xdr:rowOff>97975</xdr:rowOff>
    </xdr:to>
    <xdr:pic>
      <xdr:nvPicPr>
        <xdr:cNvPr id="6" name="Immagine 5" descr="Immagine che contiene grafico&#10;&#10;Descrizione generata automaticamente">
          <a:extLst>
            <a:ext uri="{FF2B5EF4-FFF2-40B4-BE49-F238E27FC236}">
              <a16:creationId xmlns:a16="http://schemas.microsoft.com/office/drawing/2014/main" id="{A275DBB3-231E-473C-91B9-FA826237205F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547475"/>
          <a:ext cx="3600000" cy="3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workbookViewId="0">
      <selection activeCell="E35" sqref="E35"/>
    </sheetView>
  </sheetViews>
  <sheetFormatPr defaultRowHeight="15" x14ac:dyDescent="0.25"/>
  <sheetData>
    <row r="1" spans="1:14" x14ac:dyDescent="0.25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x14ac:dyDescent="0.2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</row>
    <row r="3" spans="1:14" x14ac:dyDescent="0.25">
      <c r="A3" s="191"/>
      <c r="B3" s="215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</row>
    <row r="4" spans="1:14" x14ac:dyDescent="0.25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x14ac:dyDescent="0.25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</row>
    <row r="6" spans="1:14" x14ac:dyDescent="0.25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</row>
    <row r="7" spans="1:14" ht="21" x14ac:dyDescent="0.25">
      <c r="A7" s="192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</row>
    <row r="8" spans="1:14" ht="21" x14ac:dyDescent="0.25">
      <c r="A8" s="192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</row>
    <row r="9" spans="1:14" ht="15.75" x14ac:dyDescent="0.25">
      <c r="A9" s="193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</row>
    <row r="10" spans="1:14" ht="23.25" x14ac:dyDescent="0.25">
      <c r="A10" s="191"/>
      <c r="B10" s="218" t="s">
        <v>214</v>
      </c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191"/>
    </row>
    <row r="11" spans="1:14" ht="21" x14ac:dyDescent="0.25">
      <c r="A11" s="191"/>
      <c r="B11" s="191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1"/>
      <c r="N11" s="191"/>
    </row>
    <row r="12" spans="1:14" ht="18.75" x14ac:dyDescent="0.25">
      <c r="A12" s="191"/>
      <c r="B12" s="219" t="s">
        <v>188</v>
      </c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191"/>
    </row>
    <row r="13" spans="1:14" ht="15.75" x14ac:dyDescent="0.25">
      <c r="A13" s="191"/>
      <c r="B13" s="191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1"/>
      <c r="N13" s="191"/>
    </row>
    <row r="14" spans="1:14" ht="15.75" x14ac:dyDescent="0.25">
      <c r="A14" s="191"/>
      <c r="B14" s="191"/>
      <c r="C14" s="220" t="s">
        <v>45</v>
      </c>
      <c r="D14" s="220"/>
      <c r="E14" s="220"/>
      <c r="F14" s="220"/>
      <c r="G14" s="220"/>
      <c r="H14" s="220"/>
      <c r="I14" s="220"/>
      <c r="J14" s="220"/>
      <c r="K14" s="220"/>
      <c r="L14" s="220"/>
      <c r="M14" s="191"/>
      <c r="N14" s="191"/>
    </row>
    <row r="15" spans="1:14" x14ac:dyDescent="0.25">
      <c r="A15" s="191"/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</row>
    <row r="16" spans="1:14" x14ac:dyDescent="0.25">
      <c r="A16" s="191"/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</row>
    <row r="17" spans="1:14" x14ac:dyDescent="0.25">
      <c r="A17" s="194"/>
      <c r="B17" s="194"/>
      <c r="C17" s="194"/>
      <c r="D17" s="194"/>
      <c r="E17" s="194"/>
      <c r="F17" s="191"/>
      <c r="G17" s="191"/>
      <c r="H17" s="191"/>
      <c r="I17" s="191"/>
      <c r="J17" s="191"/>
      <c r="K17" s="191"/>
      <c r="L17" s="191"/>
      <c r="M17" s="191"/>
      <c r="N17" s="191"/>
    </row>
    <row r="18" spans="1:14" x14ac:dyDescent="0.25">
      <c r="A18" s="194"/>
      <c r="B18" s="194"/>
      <c r="C18" s="194"/>
      <c r="D18" s="194"/>
      <c r="E18" s="194"/>
      <c r="F18" s="191"/>
      <c r="G18" s="191"/>
      <c r="H18" s="191"/>
      <c r="I18" s="191"/>
      <c r="J18" s="191"/>
      <c r="K18" s="191"/>
      <c r="L18" s="191"/>
      <c r="M18" s="191"/>
      <c r="N18" s="191"/>
    </row>
    <row r="19" spans="1:14" x14ac:dyDescent="0.25">
      <c r="A19" s="194"/>
      <c r="B19" s="194"/>
      <c r="C19" s="194"/>
      <c r="D19" s="194"/>
      <c r="E19" s="194"/>
      <c r="F19" s="191"/>
      <c r="G19" s="191"/>
      <c r="H19" s="191"/>
      <c r="I19" s="191"/>
      <c r="J19" s="191"/>
      <c r="K19" s="191"/>
      <c r="L19" s="191"/>
      <c r="M19" s="191"/>
      <c r="N19" s="191"/>
    </row>
    <row r="20" spans="1:14" x14ac:dyDescent="0.25">
      <c r="A20" s="191"/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</row>
    <row r="21" spans="1:14" x14ac:dyDescent="0.25">
      <c r="A21" s="191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</row>
    <row r="22" spans="1:14" x14ac:dyDescent="0.25">
      <c r="A22" s="191"/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</row>
    <row r="23" spans="1:14" x14ac:dyDescent="0.25">
      <c r="A23" s="191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</row>
    <row r="24" spans="1:14" x14ac:dyDescent="0.25">
      <c r="A24" s="191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</row>
    <row r="25" spans="1:14" x14ac:dyDescent="0.25">
      <c r="A25" s="191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</row>
    <row r="26" spans="1:14" x14ac:dyDescent="0.25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</row>
    <row r="27" spans="1:14" x14ac:dyDescent="0.25">
      <c r="A27" s="191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</row>
    <row r="28" spans="1:14" x14ac:dyDescent="0.25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</row>
    <row r="29" spans="1:14" x14ac:dyDescent="0.25">
      <c r="A29" s="191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</row>
    <row r="30" spans="1:14" x14ac:dyDescent="0.25">
      <c r="A30" s="191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</row>
    <row r="31" spans="1:14" x14ac:dyDescent="0.25">
      <c r="A31" s="191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</row>
  </sheetData>
  <mergeCells count="3">
    <mergeCell ref="B10:M10"/>
    <mergeCell ref="B12:M12"/>
    <mergeCell ref="C14:L14"/>
  </mergeCell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8"/>
  <sheetViews>
    <sheetView topLeftCell="A32" zoomScaleNormal="100" workbookViewId="0">
      <selection activeCell="U42" sqref="U42"/>
    </sheetView>
  </sheetViews>
  <sheetFormatPr defaultRowHeight="15" x14ac:dyDescent="0.25"/>
  <cols>
    <col min="1" max="1" width="16.7109375" customWidth="1"/>
    <col min="7" max="7" width="9.85546875" bestFit="1" customWidth="1"/>
    <col min="8" max="8" width="9.140625" customWidth="1"/>
    <col min="9" max="9" width="9.85546875" bestFit="1" customWidth="1"/>
    <col min="13" max="13" width="10.85546875" customWidth="1"/>
    <col min="19" max="19" width="10" customWidth="1"/>
    <col min="25" max="25" width="10.140625" customWidth="1"/>
  </cols>
  <sheetData>
    <row r="1" spans="1:14" x14ac:dyDescent="0.25">
      <c r="A1" s="231" t="s">
        <v>193</v>
      </c>
      <c r="B1" s="231"/>
      <c r="C1" s="231"/>
      <c r="D1" s="231"/>
      <c r="E1" s="231"/>
      <c r="F1" s="231"/>
    </row>
    <row r="2" spans="1:14" s="1" customFormat="1" ht="15" customHeight="1" x14ac:dyDescent="0.25">
      <c r="A2" s="242" t="s">
        <v>0</v>
      </c>
      <c r="B2" s="245" t="s">
        <v>194</v>
      </c>
      <c r="C2" s="245"/>
      <c r="D2" s="247" t="s">
        <v>1</v>
      </c>
      <c r="E2" s="248"/>
      <c r="F2" s="225" t="s">
        <v>5</v>
      </c>
      <c r="G2" s="226"/>
      <c r="H2" s="225" t="s">
        <v>2</v>
      </c>
      <c r="I2" s="226"/>
    </row>
    <row r="3" spans="1:14" s="1" customFormat="1" ht="15" customHeight="1" x14ac:dyDescent="0.25">
      <c r="A3" s="243"/>
      <c r="B3" s="246"/>
      <c r="C3" s="246"/>
      <c r="D3" s="249"/>
      <c r="E3" s="250"/>
      <c r="F3" s="236"/>
      <c r="G3" s="237"/>
      <c r="H3" s="236"/>
      <c r="I3" s="237"/>
    </row>
    <row r="4" spans="1:14" s="1" customFormat="1" x14ac:dyDescent="0.25">
      <c r="A4" s="244"/>
      <c r="B4" s="2" t="s">
        <v>3</v>
      </c>
      <c r="C4" s="4" t="s">
        <v>4</v>
      </c>
      <c r="D4" s="2" t="s">
        <v>3</v>
      </c>
      <c r="E4" s="3" t="s">
        <v>4</v>
      </c>
      <c r="F4" s="4" t="s">
        <v>3</v>
      </c>
      <c r="G4" s="4" t="s">
        <v>4</v>
      </c>
      <c r="H4" s="2" t="s">
        <v>3</v>
      </c>
      <c r="I4" s="3" t="s">
        <v>4</v>
      </c>
    </row>
    <row r="5" spans="1:14" s="1" customFormat="1" ht="30" x14ac:dyDescent="0.25">
      <c r="A5" s="31" t="s">
        <v>10</v>
      </c>
      <c r="B5" s="104">
        <v>1644</v>
      </c>
      <c r="C5" s="126">
        <v>168685</v>
      </c>
      <c r="D5" s="128">
        <v>63.87</v>
      </c>
      <c r="E5" s="127">
        <v>59.4</v>
      </c>
      <c r="F5" s="105">
        <v>42.58</v>
      </c>
      <c r="G5" s="131">
        <v>20.6</v>
      </c>
      <c r="H5" s="128">
        <v>4.4400000000000004</v>
      </c>
      <c r="I5" s="127">
        <v>3.4</v>
      </c>
      <c r="L5" s="144"/>
      <c r="M5" s="171"/>
    </row>
    <row r="6" spans="1:14" s="1" customFormat="1" ht="45" x14ac:dyDescent="0.25">
      <c r="A6" s="31" t="s">
        <v>11</v>
      </c>
      <c r="B6" s="104">
        <v>1019</v>
      </c>
      <c r="C6" s="126">
        <v>95252</v>
      </c>
      <c r="D6" s="129">
        <v>43.28</v>
      </c>
      <c r="E6" s="114">
        <v>56.5</v>
      </c>
      <c r="F6" s="106">
        <v>54.66</v>
      </c>
      <c r="G6" s="113">
        <v>30.3</v>
      </c>
      <c r="H6" s="129">
        <v>12.86</v>
      </c>
      <c r="I6" s="114">
        <v>6.3</v>
      </c>
    </row>
    <row r="7" spans="1:14" s="1" customFormat="1" ht="45" x14ac:dyDescent="0.25">
      <c r="A7" s="31" t="s">
        <v>12</v>
      </c>
      <c r="B7" s="104">
        <v>480</v>
      </c>
      <c r="C7" s="126">
        <v>34510</v>
      </c>
      <c r="D7" s="129">
        <v>32.5</v>
      </c>
      <c r="E7" s="114">
        <v>67.400000000000006</v>
      </c>
      <c r="F7" s="106">
        <v>57.71</v>
      </c>
      <c r="G7" s="113">
        <v>21.5</v>
      </c>
      <c r="H7" s="129">
        <v>2.71</v>
      </c>
      <c r="I7" s="114">
        <v>2.4</v>
      </c>
    </row>
    <row r="8" spans="1:14" s="1" customFormat="1" x14ac:dyDescent="0.25">
      <c r="A8" s="5" t="s">
        <v>184</v>
      </c>
      <c r="B8" s="6">
        <v>3143</v>
      </c>
      <c r="C8" s="152">
        <v>299320</v>
      </c>
      <c r="D8" s="22">
        <v>62.11</v>
      </c>
      <c r="E8" s="153">
        <v>59.4</v>
      </c>
      <c r="F8" s="22">
        <v>48.81</v>
      </c>
      <c r="G8" s="153">
        <v>23.8</v>
      </c>
      <c r="H8" s="22">
        <v>6.9</v>
      </c>
      <c r="I8" s="153">
        <v>4.2</v>
      </c>
      <c r="J8" s="19"/>
      <c r="L8" s="144"/>
    </row>
    <row r="9" spans="1:14" s="1" customFormat="1" x14ac:dyDescent="0.25">
      <c r="A9" s="229" t="s">
        <v>177</v>
      </c>
      <c r="B9" s="229"/>
      <c r="C9" s="229"/>
      <c r="D9" s="229"/>
      <c r="E9" s="229"/>
      <c r="F9" s="229"/>
      <c r="G9" s="15"/>
      <c r="H9" s="15"/>
      <c r="I9" s="15"/>
    </row>
    <row r="10" spans="1:14" s="1" customFormat="1" ht="22.5" customHeight="1" x14ac:dyDescent="0.25">
      <c r="A10" s="251" t="s">
        <v>185</v>
      </c>
      <c r="B10" s="251"/>
      <c r="C10" s="251"/>
      <c r="D10" s="251"/>
      <c r="E10" s="251"/>
      <c r="F10" s="251"/>
      <c r="G10" s="251"/>
      <c r="H10" s="251"/>
      <c r="I10" s="251"/>
    </row>
    <row r="11" spans="1:14" s="1" customFormat="1" x14ac:dyDescent="0.25">
      <c r="A11" s="169"/>
      <c r="B11" s="169"/>
      <c r="C11" s="169"/>
      <c r="D11" s="169"/>
      <c r="E11" s="169"/>
      <c r="F11" s="169"/>
      <c r="G11" s="15"/>
      <c r="H11" s="15"/>
      <c r="I11" s="15"/>
    </row>
    <row r="12" spans="1:14" x14ac:dyDescent="0.25">
      <c r="A12" s="231" t="s">
        <v>196</v>
      </c>
      <c r="B12" s="231"/>
      <c r="C12" s="231"/>
      <c r="D12" s="231"/>
      <c r="E12" s="231"/>
      <c r="F12" s="231"/>
      <c r="G12" s="231"/>
      <c r="N12" s="163"/>
    </row>
    <row r="13" spans="1:14" ht="34.5" customHeight="1" x14ac:dyDescent="0.25">
      <c r="A13" s="240" t="s">
        <v>0</v>
      </c>
      <c r="B13" s="227" t="s">
        <v>7</v>
      </c>
      <c r="C13" s="227"/>
      <c r="D13" s="225" t="s">
        <v>8</v>
      </c>
      <c r="E13" s="226"/>
      <c r="F13" s="227" t="s">
        <v>195</v>
      </c>
      <c r="G13" s="226"/>
      <c r="L13" s="157"/>
    </row>
    <row r="14" spans="1:14" x14ac:dyDescent="0.25">
      <c r="A14" s="241"/>
      <c r="B14" s="2" t="s">
        <v>3</v>
      </c>
      <c r="C14" s="4" t="s">
        <v>4</v>
      </c>
      <c r="D14" s="2" t="s">
        <v>3</v>
      </c>
      <c r="E14" s="3" t="s">
        <v>4</v>
      </c>
      <c r="F14" s="4" t="s">
        <v>3</v>
      </c>
      <c r="G14" s="3" t="s">
        <v>4</v>
      </c>
    </row>
    <row r="15" spans="1:14" ht="30" x14ac:dyDescent="0.25">
      <c r="A15" s="31" t="s">
        <v>10</v>
      </c>
      <c r="B15" s="129">
        <v>24.94</v>
      </c>
      <c r="C15" s="113">
        <v>24.5</v>
      </c>
      <c r="D15" s="129">
        <v>101.3</v>
      </c>
      <c r="E15" s="114">
        <v>100.4</v>
      </c>
      <c r="F15" s="106">
        <v>59.85</v>
      </c>
      <c r="G15" s="114">
        <v>60.1</v>
      </c>
    </row>
    <row r="16" spans="1:14" ht="45" x14ac:dyDescent="0.25">
      <c r="A16" s="31" t="s">
        <v>11</v>
      </c>
      <c r="B16" s="129">
        <v>27.67</v>
      </c>
      <c r="C16" s="113">
        <v>27.1</v>
      </c>
      <c r="D16" s="129">
        <v>107.54</v>
      </c>
      <c r="E16" s="114">
        <v>108.1</v>
      </c>
      <c r="F16" s="106">
        <v>56.82</v>
      </c>
      <c r="G16" s="114">
        <v>67</v>
      </c>
    </row>
    <row r="17" spans="1:13" ht="45" x14ac:dyDescent="0.25">
      <c r="A17" s="31" t="s">
        <v>12</v>
      </c>
      <c r="B17" s="129">
        <v>27.08</v>
      </c>
      <c r="C17" s="113">
        <v>27</v>
      </c>
      <c r="D17" s="129">
        <v>105.16</v>
      </c>
      <c r="E17" s="114">
        <v>105.7</v>
      </c>
      <c r="F17" s="106">
        <v>46.46</v>
      </c>
      <c r="G17" s="114">
        <v>49.7</v>
      </c>
    </row>
    <row r="18" spans="1:13" x14ac:dyDescent="0.25">
      <c r="A18" s="5" t="s">
        <v>186</v>
      </c>
      <c r="B18" s="10">
        <v>26.15</v>
      </c>
      <c r="C18" s="154">
        <v>25.7</v>
      </c>
      <c r="D18" s="22">
        <v>103.92</v>
      </c>
      <c r="E18" s="155">
        <v>103.5</v>
      </c>
      <c r="F18" s="10">
        <v>56.82</v>
      </c>
      <c r="G18" s="155">
        <v>60.9</v>
      </c>
    </row>
    <row r="19" spans="1:13" ht="15" customHeight="1" x14ac:dyDescent="0.25">
      <c r="A19" s="229" t="s">
        <v>177</v>
      </c>
      <c r="B19" s="229"/>
      <c r="C19" s="229"/>
      <c r="D19" s="229"/>
      <c r="E19" s="229"/>
      <c r="F19" s="229"/>
    </row>
    <row r="20" spans="1:13" s="1" customFormat="1" ht="22.5" customHeight="1" x14ac:dyDescent="0.25">
      <c r="A20" s="251" t="s">
        <v>185</v>
      </c>
      <c r="B20" s="251"/>
      <c r="C20" s="251"/>
      <c r="D20" s="251"/>
      <c r="E20" s="251"/>
      <c r="F20" s="251"/>
      <c r="G20" s="251"/>
      <c r="H20" s="170"/>
      <c r="I20" s="170"/>
    </row>
    <row r="22" spans="1:13" ht="30" customHeight="1" x14ac:dyDescent="0.25">
      <c r="A22" s="252" t="s">
        <v>190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1"/>
      <c r="M22" s="1"/>
    </row>
    <row r="23" spans="1:13" ht="90.75" customHeight="1" x14ac:dyDescent="0.25">
      <c r="A23" s="238" t="s">
        <v>9</v>
      </c>
      <c r="B23" s="223" t="s">
        <v>189</v>
      </c>
      <c r="C23" s="224"/>
      <c r="D23" s="225" t="s">
        <v>13</v>
      </c>
      <c r="E23" s="226"/>
      <c r="F23" s="227" t="s">
        <v>14</v>
      </c>
      <c r="G23" s="227"/>
      <c r="H23" s="225" t="s">
        <v>15</v>
      </c>
      <c r="I23" s="226"/>
      <c r="J23" s="259" t="s">
        <v>183</v>
      </c>
      <c r="K23" s="259"/>
      <c r="L23" s="257"/>
      <c r="M23" s="258"/>
    </row>
    <row r="24" spans="1:13" x14ac:dyDescent="0.25">
      <c r="A24" s="239"/>
      <c r="B24" s="2" t="s">
        <v>3</v>
      </c>
      <c r="C24" s="4" t="s">
        <v>4</v>
      </c>
      <c r="D24" s="2" t="s">
        <v>3</v>
      </c>
      <c r="E24" s="3" t="s">
        <v>4</v>
      </c>
      <c r="F24" s="4" t="s">
        <v>3</v>
      </c>
      <c r="G24" s="4" t="s">
        <v>4</v>
      </c>
      <c r="H24" s="2" t="s">
        <v>3</v>
      </c>
      <c r="I24" s="3" t="s">
        <v>4</v>
      </c>
      <c r="J24" s="4" t="s">
        <v>3</v>
      </c>
      <c r="K24" s="4" t="s">
        <v>4</v>
      </c>
      <c r="L24" s="58"/>
      <c r="M24" s="57"/>
    </row>
    <row r="25" spans="1:13" ht="30" x14ac:dyDescent="0.25">
      <c r="A25" s="31" t="s">
        <v>10</v>
      </c>
      <c r="B25" s="104">
        <v>1644</v>
      </c>
      <c r="C25" s="126">
        <v>168685</v>
      </c>
      <c r="D25" s="130">
        <v>97.08</v>
      </c>
      <c r="E25" s="114">
        <v>94.2</v>
      </c>
      <c r="F25" s="130">
        <v>92.8</v>
      </c>
      <c r="G25" s="132">
        <v>90.800000000000011</v>
      </c>
      <c r="H25" s="130">
        <v>92.17</v>
      </c>
      <c r="I25" s="134">
        <v>88.800000000000011</v>
      </c>
      <c r="J25" s="130">
        <v>86.59</v>
      </c>
      <c r="K25" s="135">
        <v>84.3</v>
      </c>
      <c r="L25" s="1"/>
      <c r="M25" s="1"/>
    </row>
    <row r="26" spans="1:13" ht="45" x14ac:dyDescent="0.25">
      <c r="A26" s="8" t="s">
        <v>11</v>
      </c>
      <c r="B26" s="104">
        <v>1019</v>
      </c>
      <c r="C26" s="126">
        <v>95252</v>
      </c>
      <c r="D26" s="130">
        <v>95.19</v>
      </c>
      <c r="E26" s="114">
        <v>93.7</v>
      </c>
      <c r="F26" s="130">
        <v>93.4</v>
      </c>
      <c r="G26" s="133">
        <v>90.9</v>
      </c>
      <c r="H26" s="130">
        <v>93.51</v>
      </c>
      <c r="I26" s="134">
        <v>91.1</v>
      </c>
      <c r="J26" s="130">
        <v>92.68</v>
      </c>
      <c r="K26" s="134">
        <v>88.3</v>
      </c>
      <c r="L26" s="1"/>
      <c r="M26" s="1"/>
    </row>
    <row r="27" spans="1:13" ht="45" x14ac:dyDescent="0.25">
      <c r="A27" s="8" t="s">
        <v>12</v>
      </c>
      <c r="B27" s="104">
        <v>480</v>
      </c>
      <c r="C27" s="126">
        <v>34510</v>
      </c>
      <c r="D27" s="130">
        <v>96.46</v>
      </c>
      <c r="E27" s="114">
        <v>93.5</v>
      </c>
      <c r="F27" s="130">
        <v>84.23</v>
      </c>
      <c r="G27" s="132">
        <v>88.1</v>
      </c>
      <c r="H27" s="130">
        <v>78.19</v>
      </c>
      <c r="I27" s="134">
        <v>82.1</v>
      </c>
      <c r="J27" s="130">
        <v>72.790000000000006</v>
      </c>
      <c r="K27" s="136">
        <v>73.7</v>
      </c>
      <c r="L27" s="1"/>
      <c r="M27" s="1"/>
    </row>
    <row r="28" spans="1:13" x14ac:dyDescent="0.25">
      <c r="A28" s="5" t="s">
        <v>184</v>
      </c>
      <c r="B28" s="6">
        <v>3143</v>
      </c>
      <c r="C28" s="152">
        <v>299320</v>
      </c>
      <c r="D28" s="54">
        <v>96.37</v>
      </c>
      <c r="E28" s="156">
        <v>93.9</v>
      </c>
      <c r="F28" s="33">
        <v>91.7</v>
      </c>
      <c r="G28" s="156">
        <v>90.5</v>
      </c>
      <c r="H28" s="33">
        <v>90.46</v>
      </c>
      <c r="I28" s="156">
        <v>88.8</v>
      </c>
      <c r="J28" s="60">
        <v>86.43</v>
      </c>
      <c r="K28" s="156">
        <v>84.4</v>
      </c>
      <c r="L28" s="1"/>
      <c r="M28" s="1"/>
    </row>
    <row r="29" spans="1:13" ht="15" customHeight="1" x14ac:dyDescent="0.25">
      <c r="A29" s="229" t="s">
        <v>177</v>
      </c>
      <c r="B29" s="229"/>
      <c r="C29" s="229"/>
      <c r="D29" s="229"/>
      <c r="E29" s="229"/>
      <c r="F29" s="229"/>
      <c r="G29" s="47"/>
      <c r="H29" s="47"/>
      <c r="I29" s="47"/>
      <c r="J29" s="46"/>
      <c r="K29" s="46"/>
    </row>
    <row r="30" spans="1:13" x14ac:dyDescent="0.25">
      <c r="A30" s="251" t="s">
        <v>185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51"/>
    </row>
    <row r="31" spans="1:13" ht="15" customHeight="1" x14ac:dyDescent="0.25">
      <c r="A31" s="51"/>
      <c r="B31" s="48"/>
      <c r="C31" s="48"/>
      <c r="D31" s="49"/>
      <c r="E31" s="49"/>
      <c r="F31" s="50"/>
      <c r="G31" s="46"/>
      <c r="H31" s="46"/>
      <c r="I31" s="46"/>
      <c r="J31" s="46"/>
      <c r="K31" s="46"/>
    </row>
    <row r="32" spans="1:13" ht="27" customHeight="1" x14ac:dyDescent="0.25">
      <c r="A32" s="233" t="s">
        <v>24</v>
      </c>
      <c r="B32" s="233"/>
      <c r="C32" s="233"/>
      <c r="D32" s="233"/>
      <c r="E32" s="233"/>
      <c r="F32" s="233"/>
      <c r="G32" s="233"/>
      <c r="H32" s="233"/>
      <c r="I32" s="233"/>
    </row>
    <row r="33" spans="1:16" ht="15" customHeight="1" x14ac:dyDescent="0.25">
      <c r="A33" s="234" t="s">
        <v>9</v>
      </c>
      <c r="B33" s="234" t="s">
        <v>18</v>
      </c>
      <c r="C33" s="234"/>
      <c r="D33" s="221" t="s">
        <v>3</v>
      </c>
      <c r="E33" s="222"/>
      <c r="F33" s="222"/>
      <c r="G33" s="145"/>
      <c r="H33" s="222" t="s">
        <v>4</v>
      </c>
      <c r="I33" s="222"/>
      <c r="J33" s="222"/>
      <c r="K33" s="235"/>
      <c r="L33" s="1"/>
      <c r="M33" s="1"/>
      <c r="N33" s="1"/>
    </row>
    <row r="34" spans="1:16" ht="29.25" customHeight="1" x14ac:dyDescent="0.25">
      <c r="A34" s="234"/>
      <c r="B34" s="234"/>
      <c r="C34" s="234"/>
      <c r="D34" s="2">
        <v>2021</v>
      </c>
      <c r="E34" s="4">
        <v>2020</v>
      </c>
      <c r="F34" s="4">
        <v>2019</v>
      </c>
      <c r="G34" s="3">
        <v>2018</v>
      </c>
      <c r="H34" s="41">
        <v>2021</v>
      </c>
      <c r="I34" s="4">
        <v>2020</v>
      </c>
      <c r="J34" s="4">
        <v>2019</v>
      </c>
      <c r="K34" s="4">
        <v>2018</v>
      </c>
      <c r="L34" s="19"/>
      <c r="M34" s="1"/>
      <c r="N34" s="1"/>
      <c r="O34" s="1"/>
      <c r="P34" s="1"/>
    </row>
    <row r="35" spans="1:16" ht="27.75" customHeight="1" x14ac:dyDescent="0.25">
      <c r="A35" s="232" t="s">
        <v>10</v>
      </c>
      <c r="B35" s="284" t="s">
        <v>19</v>
      </c>
      <c r="C35" s="284"/>
      <c r="D35" s="66">
        <v>73.430000000000007</v>
      </c>
      <c r="E35" s="66">
        <v>75.319999999999993</v>
      </c>
      <c r="F35" s="66">
        <v>73.7</v>
      </c>
      <c r="G35" s="67">
        <v>74.5</v>
      </c>
      <c r="H35" s="65">
        <v>71.7</v>
      </c>
      <c r="I35" s="66">
        <v>71.7</v>
      </c>
      <c r="J35" s="66">
        <v>70.3</v>
      </c>
      <c r="K35" s="67">
        <v>68.400000000000006</v>
      </c>
      <c r="L35" s="19"/>
    </row>
    <row r="36" spans="1:16" ht="27.75" customHeight="1" x14ac:dyDescent="0.25">
      <c r="A36" s="232"/>
      <c r="B36" s="284" t="s">
        <v>20</v>
      </c>
      <c r="C36" s="284"/>
      <c r="D36" s="63">
        <v>7.33</v>
      </c>
      <c r="E36" s="63">
        <v>7.19</v>
      </c>
      <c r="F36" s="63">
        <v>8.8000000000000007</v>
      </c>
      <c r="G36" s="64">
        <v>7.4</v>
      </c>
      <c r="H36" s="62">
        <v>10.3</v>
      </c>
      <c r="I36" s="63">
        <v>10.4</v>
      </c>
      <c r="J36" s="63">
        <v>10.5</v>
      </c>
      <c r="K36" s="64">
        <v>10.8</v>
      </c>
    </row>
    <row r="37" spans="1:16" ht="41.25" customHeight="1" x14ac:dyDescent="0.25">
      <c r="A37" s="232"/>
      <c r="B37" s="284" t="s">
        <v>21</v>
      </c>
      <c r="C37" s="284"/>
      <c r="D37" s="63">
        <v>11.09</v>
      </c>
      <c r="E37" s="63">
        <v>9.86</v>
      </c>
      <c r="F37" s="63">
        <v>11</v>
      </c>
      <c r="G37" s="64">
        <v>10.9</v>
      </c>
      <c r="H37" s="62">
        <v>10.199999999999999</v>
      </c>
      <c r="I37" s="44">
        <v>10.199999999999999</v>
      </c>
      <c r="J37" s="63">
        <v>11.1</v>
      </c>
      <c r="K37" s="64">
        <v>12</v>
      </c>
    </row>
    <row r="38" spans="1:16" ht="43.5" customHeight="1" x14ac:dyDescent="0.25">
      <c r="A38" s="232"/>
      <c r="B38" s="284" t="s">
        <v>22</v>
      </c>
      <c r="C38" s="284"/>
      <c r="D38" s="63">
        <v>6.45</v>
      </c>
      <c r="E38" s="63">
        <v>6.12</v>
      </c>
      <c r="F38" s="63">
        <v>5.0999999999999996</v>
      </c>
      <c r="G38" s="64">
        <v>5.9</v>
      </c>
      <c r="H38" s="62">
        <v>5.8</v>
      </c>
      <c r="I38" s="44">
        <v>5.7</v>
      </c>
      <c r="J38" s="63">
        <v>5.9</v>
      </c>
      <c r="K38" s="64">
        <v>6.5</v>
      </c>
    </row>
    <row r="39" spans="1:16" ht="45" customHeight="1" x14ac:dyDescent="0.25">
      <c r="A39" s="232"/>
      <c r="B39" s="284" t="s">
        <v>23</v>
      </c>
      <c r="C39" s="284"/>
      <c r="D39" s="68">
        <v>1.32</v>
      </c>
      <c r="E39" s="69">
        <v>1.51</v>
      </c>
      <c r="F39" s="69">
        <v>1.1000000000000001</v>
      </c>
      <c r="G39" s="64">
        <v>1.3</v>
      </c>
      <c r="H39" s="68">
        <v>1.6</v>
      </c>
      <c r="I39" s="69">
        <v>1.7</v>
      </c>
      <c r="J39" s="69">
        <v>1.7</v>
      </c>
      <c r="K39" s="70">
        <v>2</v>
      </c>
    </row>
    <row r="40" spans="1:16" ht="33" customHeight="1" x14ac:dyDescent="0.25">
      <c r="A40" s="232" t="s">
        <v>11</v>
      </c>
      <c r="B40" s="284" t="s">
        <v>19</v>
      </c>
      <c r="C40" s="284"/>
      <c r="D40" s="63">
        <v>77.94</v>
      </c>
      <c r="E40" s="63">
        <v>74.16</v>
      </c>
      <c r="F40" s="66">
        <v>71.8</v>
      </c>
      <c r="G40" s="67">
        <v>72.400000000000006</v>
      </c>
      <c r="H40" s="63">
        <v>76.3</v>
      </c>
      <c r="I40" s="63">
        <v>76.099999999999994</v>
      </c>
      <c r="J40" s="66">
        <v>75.599999999999994</v>
      </c>
      <c r="K40" s="64">
        <v>74.8</v>
      </c>
    </row>
    <row r="41" spans="1:16" ht="32.25" customHeight="1" x14ac:dyDescent="0.25">
      <c r="A41" s="232"/>
      <c r="B41" s="284" t="s">
        <v>20</v>
      </c>
      <c r="C41" s="284"/>
      <c r="D41" s="63">
        <v>5.57</v>
      </c>
      <c r="E41" s="63">
        <v>6.38</v>
      </c>
      <c r="F41" s="63">
        <v>6.8</v>
      </c>
      <c r="G41" s="77">
        <v>7.1</v>
      </c>
      <c r="H41" s="63">
        <v>6.9</v>
      </c>
      <c r="I41" s="63">
        <v>6.7</v>
      </c>
      <c r="J41" s="63">
        <v>6.8</v>
      </c>
      <c r="K41" s="64">
        <v>6.8</v>
      </c>
    </row>
    <row r="42" spans="1:16" ht="45" customHeight="1" x14ac:dyDescent="0.25">
      <c r="A42" s="232"/>
      <c r="B42" s="284" t="s">
        <v>21</v>
      </c>
      <c r="C42" s="284"/>
      <c r="D42" s="63">
        <v>8.66</v>
      </c>
      <c r="E42" s="63">
        <v>8.7899999999999991</v>
      </c>
      <c r="F42" s="63">
        <v>11.9</v>
      </c>
      <c r="G42" s="77">
        <v>9.8000000000000007</v>
      </c>
      <c r="H42" s="63">
        <v>8.4</v>
      </c>
      <c r="I42" s="63">
        <v>8.9</v>
      </c>
      <c r="J42" s="63">
        <v>9.1999999999999993</v>
      </c>
      <c r="K42" s="64">
        <v>9.5</v>
      </c>
    </row>
    <row r="43" spans="1:16" ht="45" customHeight="1" x14ac:dyDescent="0.25">
      <c r="A43" s="232"/>
      <c r="B43" s="284" t="s">
        <v>22</v>
      </c>
      <c r="C43" s="284"/>
      <c r="D43" s="63">
        <v>5.36</v>
      </c>
      <c r="E43" s="63">
        <v>6.69</v>
      </c>
      <c r="F43" s="63">
        <v>6</v>
      </c>
      <c r="G43" s="77">
        <v>7.2</v>
      </c>
      <c r="H43" s="63">
        <v>5</v>
      </c>
      <c r="I43" s="63">
        <v>5</v>
      </c>
      <c r="J43" s="63">
        <v>4.9000000000000004</v>
      </c>
      <c r="K43" s="64">
        <v>5.0999999999999996</v>
      </c>
    </row>
    <row r="44" spans="1:16" ht="45" customHeight="1" x14ac:dyDescent="0.25">
      <c r="A44" s="232"/>
      <c r="B44" s="284" t="s">
        <v>23</v>
      </c>
      <c r="C44" s="284"/>
      <c r="D44" s="69">
        <v>2.16</v>
      </c>
      <c r="E44" s="69">
        <v>3.97</v>
      </c>
      <c r="F44" s="69">
        <v>3.3</v>
      </c>
      <c r="G44" s="158">
        <v>3.5</v>
      </c>
      <c r="H44" s="69">
        <v>2.9</v>
      </c>
      <c r="I44" s="69">
        <v>3.1</v>
      </c>
      <c r="J44" s="69">
        <v>3.1</v>
      </c>
      <c r="K44" s="70">
        <v>3.5</v>
      </c>
    </row>
    <row r="45" spans="1:16" ht="35.25" customHeight="1" x14ac:dyDescent="0.25">
      <c r="A45" s="234" t="s">
        <v>9</v>
      </c>
      <c r="B45" s="234" t="s">
        <v>18</v>
      </c>
      <c r="C45" s="234"/>
      <c r="D45" s="221" t="s">
        <v>3</v>
      </c>
      <c r="E45" s="222"/>
      <c r="F45" s="222"/>
      <c r="G45" s="235"/>
      <c r="H45" s="221" t="s">
        <v>4</v>
      </c>
      <c r="I45" s="222"/>
      <c r="J45" s="222"/>
      <c r="K45" s="235"/>
    </row>
    <row r="46" spans="1:16" ht="33.75" customHeight="1" x14ac:dyDescent="0.25">
      <c r="A46" s="234"/>
      <c r="B46" s="234"/>
      <c r="C46" s="234"/>
      <c r="D46" s="4">
        <v>2021</v>
      </c>
      <c r="E46" s="4">
        <v>2020</v>
      </c>
      <c r="F46" s="4">
        <v>2019</v>
      </c>
      <c r="G46" s="3">
        <v>2018</v>
      </c>
      <c r="H46" s="4">
        <v>2021</v>
      </c>
      <c r="I46" s="4">
        <v>2020</v>
      </c>
      <c r="J46" s="4">
        <v>2019</v>
      </c>
      <c r="K46" s="4">
        <v>2018</v>
      </c>
      <c r="L46" s="19"/>
    </row>
    <row r="47" spans="1:16" ht="30" customHeight="1" x14ac:dyDescent="0.25">
      <c r="A47" s="232" t="s">
        <v>12</v>
      </c>
      <c r="B47" s="284" t="s">
        <v>19</v>
      </c>
      <c r="C47" s="284"/>
      <c r="D47" s="66">
        <v>66.31</v>
      </c>
      <c r="E47" s="66">
        <v>65.37</v>
      </c>
      <c r="F47" s="66">
        <v>69.3</v>
      </c>
      <c r="G47" s="67">
        <v>70.5</v>
      </c>
      <c r="H47" s="147">
        <v>69.7</v>
      </c>
      <c r="I47" s="66">
        <v>69.8</v>
      </c>
      <c r="J47" s="66">
        <v>68.7</v>
      </c>
      <c r="K47" s="67">
        <v>66.5</v>
      </c>
    </row>
    <row r="48" spans="1:16" ht="27.75" customHeight="1" x14ac:dyDescent="0.25">
      <c r="A48" s="232"/>
      <c r="B48" s="284" t="s">
        <v>20</v>
      </c>
      <c r="C48" s="284"/>
      <c r="D48" s="63">
        <v>5.18</v>
      </c>
      <c r="E48" s="63">
        <v>6.49</v>
      </c>
      <c r="F48" s="63">
        <v>6.8</v>
      </c>
      <c r="G48" s="64">
        <v>7</v>
      </c>
      <c r="H48" s="1">
        <v>6.7</v>
      </c>
      <c r="I48" s="63">
        <v>7</v>
      </c>
      <c r="J48" s="63">
        <v>7.5</v>
      </c>
      <c r="K48" s="64">
        <v>7.7</v>
      </c>
    </row>
    <row r="49" spans="1:25" ht="45" customHeight="1" x14ac:dyDescent="0.25">
      <c r="A49" s="232"/>
      <c r="B49" s="284" t="s">
        <v>21</v>
      </c>
      <c r="C49" s="284"/>
      <c r="D49" s="63">
        <v>19.87</v>
      </c>
      <c r="E49" s="63">
        <v>20.56</v>
      </c>
      <c r="F49" s="63">
        <v>15.7</v>
      </c>
      <c r="G49" s="64">
        <v>14.1</v>
      </c>
      <c r="H49" s="1">
        <v>17.2</v>
      </c>
      <c r="I49" s="63">
        <v>16.5</v>
      </c>
      <c r="J49" s="63">
        <v>16.600000000000001</v>
      </c>
      <c r="K49" s="64">
        <v>17.8</v>
      </c>
    </row>
    <row r="50" spans="1:25" ht="46.5" customHeight="1" x14ac:dyDescent="0.25">
      <c r="A50" s="232"/>
      <c r="B50" s="284" t="s">
        <v>22</v>
      </c>
      <c r="C50" s="284"/>
      <c r="D50" s="63">
        <v>6.26</v>
      </c>
      <c r="E50" s="63">
        <v>6.28</v>
      </c>
      <c r="F50" s="63">
        <v>6.8</v>
      </c>
      <c r="G50" s="64">
        <v>7</v>
      </c>
      <c r="H50" s="1">
        <v>4.5</v>
      </c>
      <c r="I50" s="63">
        <v>4.8</v>
      </c>
      <c r="J50" s="63">
        <v>5.3</v>
      </c>
      <c r="K50" s="64">
        <v>5.6</v>
      </c>
    </row>
    <row r="51" spans="1:25" ht="42" customHeight="1" x14ac:dyDescent="0.25">
      <c r="A51" s="232"/>
      <c r="B51" s="284" t="s">
        <v>23</v>
      </c>
      <c r="C51" s="284"/>
      <c r="D51" s="68">
        <v>1.94</v>
      </c>
      <c r="E51" s="63">
        <v>1.3</v>
      </c>
      <c r="F51" s="69">
        <v>1.5</v>
      </c>
      <c r="G51" s="70">
        <v>1.4</v>
      </c>
      <c r="H51" s="21">
        <v>1.6</v>
      </c>
      <c r="I51" s="69">
        <v>1.6</v>
      </c>
      <c r="J51" s="69">
        <v>1.8</v>
      </c>
      <c r="K51" s="70">
        <v>2</v>
      </c>
    </row>
    <row r="52" spans="1:25" ht="30" customHeight="1" x14ac:dyDescent="0.25">
      <c r="A52" s="230" t="s">
        <v>6</v>
      </c>
      <c r="B52" s="284" t="s">
        <v>19</v>
      </c>
      <c r="C52" s="284"/>
      <c r="D52" s="76">
        <v>73.790000000000006</v>
      </c>
      <c r="E52" s="66">
        <v>73.290000000000006</v>
      </c>
      <c r="F52" s="66">
        <v>72.3</v>
      </c>
      <c r="G52" s="67">
        <v>73</v>
      </c>
      <c r="H52" s="181">
        <v>72.900000000000006</v>
      </c>
      <c r="I52" s="181">
        <v>72.8</v>
      </c>
      <c r="J52" s="66">
        <v>71.599999999999994</v>
      </c>
      <c r="K52" s="67">
        <v>70</v>
      </c>
    </row>
    <row r="53" spans="1:25" ht="33" customHeight="1" x14ac:dyDescent="0.25">
      <c r="A53" s="230"/>
      <c r="B53" s="284" t="s">
        <v>20</v>
      </c>
      <c r="C53" s="284"/>
      <c r="D53" s="76">
        <v>6.44</v>
      </c>
      <c r="E53" s="63">
        <v>11.25</v>
      </c>
      <c r="F53" s="63">
        <v>7.8</v>
      </c>
      <c r="G53" s="64">
        <v>7.2</v>
      </c>
      <c r="H53" s="76">
        <v>8.8000000000000007</v>
      </c>
      <c r="I53" s="44">
        <v>8.9</v>
      </c>
      <c r="J53" s="63">
        <v>9.1</v>
      </c>
      <c r="K53" s="64">
        <v>9.3000000000000007</v>
      </c>
    </row>
    <row r="54" spans="1:25" ht="45" customHeight="1" x14ac:dyDescent="0.25">
      <c r="A54" s="230"/>
      <c r="B54" s="284" t="s">
        <v>21</v>
      </c>
      <c r="C54" s="284"/>
      <c r="D54" s="76">
        <v>11.65</v>
      </c>
      <c r="E54" s="63">
        <v>6.37</v>
      </c>
      <c r="F54" s="63">
        <v>12.2</v>
      </c>
      <c r="G54" s="64">
        <v>11.2</v>
      </c>
      <c r="H54" s="76">
        <v>10.4</v>
      </c>
      <c r="I54" s="44">
        <v>10.6</v>
      </c>
      <c r="J54" s="63">
        <v>11.3</v>
      </c>
      <c r="K54" s="64">
        <v>12.1</v>
      </c>
    </row>
    <row r="55" spans="1:25" ht="47.25" customHeight="1" x14ac:dyDescent="0.25">
      <c r="A55" s="230"/>
      <c r="B55" s="284" t="s">
        <v>22</v>
      </c>
      <c r="C55" s="284"/>
      <c r="D55" s="76">
        <v>6.07</v>
      </c>
      <c r="E55" s="63">
        <v>6.77</v>
      </c>
      <c r="F55" s="63">
        <v>5.6</v>
      </c>
      <c r="G55" s="64">
        <v>6.5</v>
      </c>
      <c r="H55" s="76">
        <v>5.4</v>
      </c>
      <c r="I55" s="44">
        <v>5.4</v>
      </c>
      <c r="J55" s="63">
        <v>5.6</v>
      </c>
      <c r="K55" s="64">
        <v>6</v>
      </c>
    </row>
    <row r="56" spans="1:25" ht="45" customHeight="1" x14ac:dyDescent="0.25">
      <c r="A56" s="230"/>
      <c r="B56" s="284" t="s">
        <v>23</v>
      </c>
      <c r="C56" s="284"/>
      <c r="D56" s="122">
        <v>1.68</v>
      </c>
      <c r="E56" s="69">
        <v>2.31</v>
      </c>
      <c r="F56" s="69">
        <v>1.8</v>
      </c>
      <c r="G56" s="70">
        <v>2</v>
      </c>
      <c r="H56" s="122">
        <v>2</v>
      </c>
      <c r="I56" s="69">
        <v>2.1</v>
      </c>
      <c r="J56" s="69">
        <v>2.2000000000000002</v>
      </c>
      <c r="K56" s="70">
        <v>2.4</v>
      </c>
    </row>
    <row r="57" spans="1:25" ht="15" customHeight="1" x14ac:dyDescent="0.25">
      <c r="A57" s="229" t="s">
        <v>177</v>
      </c>
      <c r="B57" s="229"/>
      <c r="C57" s="229"/>
      <c r="D57" s="229"/>
      <c r="E57" s="229"/>
      <c r="F57" s="229"/>
      <c r="G57" s="11"/>
      <c r="H57" s="11"/>
      <c r="I57" s="11"/>
    </row>
    <row r="58" spans="1:25" x14ac:dyDescent="0.25">
      <c r="A58" s="39"/>
      <c r="B58" s="40"/>
      <c r="C58" s="40"/>
      <c r="D58" s="11"/>
      <c r="E58" s="11"/>
      <c r="F58" s="11"/>
      <c r="G58" s="11"/>
      <c r="H58" s="11"/>
      <c r="I58" s="11"/>
    </row>
    <row r="59" spans="1:25" x14ac:dyDescent="0.25">
      <c r="A59" s="228" t="s">
        <v>197</v>
      </c>
      <c r="B59" s="228"/>
      <c r="C59" s="228"/>
      <c r="D59" s="228"/>
      <c r="E59" s="228"/>
      <c r="F59" s="228"/>
      <c r="G59" s="228"/>
      <c r="H59" s="228"/>
      <c r="I59" s="228"/>
      <c r="J59" s="228"/>
      <c r="K59" s="228"/>
    </row>
    <row r="60" spans="1:25" x14ac:dyDescent="0.25">
      <c r="A60" s="148"/>
      <c r="B60" s="254" t="s">
        <v>198</v>
      </c>
      <c r="C60" s="254"/>
      <c r="D60" s="254"/>
      <c r="E60" s="254"/>
      <c r="F60" s="254"/>
      <c r="G60" s="255"/>
      <c r="H60" s="254" t="s">
        <v>199</v>
      </c>
      <c r="I60" s="254"/>
      <c r="J60" s="254"/>
      <c r="K60" s="254"/>
      <c r="L60" s="254"/>
      <c r="M60" s="255"/>
      <c r="N60" s="253" t="s">
        <v>200</v>
      </c>
      <c r="O60" s="254"/>
      <c r="P60" s="254"/>
      <c r="Q60" s="254"/>
      <c r="R60" s="254"/>
      <c r="S60" s="255"/>
      <c r="T60" s="253" t="s">
        <v>201</v>
      </c>
      <c r="U60" s="254"/>
      <c r="V60" s="254"/>
      <c r="W60" s="254"/>
      <c r="X60" s="254"/>
      <c r="Y60" s="255"/>
    </row>
    <row r="61" spans="1:25" ht="126" customHeight="1" x14ac:dyDescent="0.25">
      <c r="A61" s="260"/>
      <c r="B61" s="227" t="s">
        <v>25</v>
      </c>
      <c r="C61" s="227"/>
      <c r="D61" s="227" t="s">
        <v>26</v>
      </c>
      <c r="E61" s="227"/>
      <c r="F61" s="227" t="s">
        <v>150</v>
      </c>
      <c r="G61" s="226"/>
      <c r="H61" s="227" t="s">
        <v>25</v>
      </c>
      <c r="I61" s="227"/>
      <c r="J61" s="227" t="s">
        <v>26</v>
      </c>
      <c r="K61" s="227"/>
      <c r="L61" s="227" t="s">
        <v>150</v>
      </c>
      <c r="M61" s="226"/>
      <c r="N61" s="227" t="s">
        <v>25</v>
      </c>
      <c r="O61" s="227"/>
      <c r="P61" s="227" t="s">
        <v>26</v>
      </c>
      <c r="Q61" s="227"/>
      <c r="R61" s="224" t="s">
        <v>150</v>
      </c>
      <c r="S61" s="256"/>
      <c r="T61" s="227" t="s">
        <v>25</v>
      </c>
      <c r="U61" s="227"/>
      <c r="V61" s="227" t="s">
        <v>26</v>
      </c>
      <c r="W61" s="227"/>
      <c r="X61" s="227" t="s">
        <v>150</v>
      </c>
      <c r="Y61" s="226"/>
    </row>
    <row r="62" spans="1:25" x14ac:dyDescent="0.25">
      <c r="A62" s="261"/>
      <c r="B62" s="16" t="s">
        <v>3</v>
      </c>
      <c r="C62" s="149" t="s">
        <v>4</v>
      </c>
      <c r="D62" s="149" t="s">
        <v>3</v>
      </c>
      <c r="E62" s="149" t="s">
        <v>4</v>
      </c>
      <c r="F62" s="143" t="s">
        <v>3</v>
      </c>
      <c r="G62" s="142" t="s">
        <v>4</v>
      </c>
      <c r="H62" s="16" t="s">
        <v>3</v>
      </c>
      <c r="I62" s="17" t="s">
        <v>4</v>
      </c>
      <c r="J62" s="17" t="s">
        <v>3</v>
      </c>
      <c r="K62" s="17" t="s">
        <v>4</v>
      </c>
      <c r="L62" s="9" t="s">
        <v>3</v>
      </c>
      <c r="M62" s="18" t="s">
        <v>4</v>
      </c>
      <c r="N62" s="16" t="s">
        <v>3</v>
      </c>
      <c r="O62" s="17" t="s">
        <v>4</v>
      </c>
      <c r="P62" s="17" t="s">
        <v>3</v>
      </c>
      <c r="Q62" s="17" t="s">
        <v>4</v>
      </c>
      <c r="R62" s="20" t="s">
        <v>3</v>
      </c>
      <c r="S62" s="18" t="s">
        <v>4</v>
      </c>
      <c r="T62" s="16" t="s">
        <v>3</v>
      </c>
      <c r="U62" s="17" t="s">
        <v>4</v>
      </c>
      <c r="V62" s="17" t="s">
        <v>3</v>
      </c>
      <c r="W62" s="17" t="s">
        <v>4</v>
      </c>
      <c r="X62" s="30" t="s">
        <v>3</v>
      </c>
      <c r="Y62" s="18" t="s">
        <v>4</v>
      </c>
    </row>
    <row r="63" spans="1:25" ht="30" x14ac:dyDescent="0.25">
      <c r="A63" s="7" t="s">
        <v>10</v>
      </c>
      <c r="B63" s="66">
        <v>7.08</v>
      </c>
      <c r="C63" s="190">
        <v>6.8</v>
      </c>
      <c r="D63" s="66">
        <v>5.2</v>
      </c>
      <c r="E63" s="111">
        <v>5.3</v>
      </c>
      <c r="F63" s="66">
        <v>95.05</v>
      </c>
      <c r="G63" s="135">
        <v>91.1</v>
      </c>
      <c r="H63" s="66">
        <v>10.74</v>
      </c>
      <c r="I63" s="111">
        <v>9.4</v>
      </c>
      <c r="J63" s="61">
        <v>7.95</v>
      </c>
      <c r="K63" s="111">
        <v>7.2</v>
      </c>
      <c r="L63" s="61">
        <v>96.35</v>
      </c>
      <c r="M63" s="119">
        <v>91</v>
      </c>
      <c r="N63" s="61">
        <v>8.6999999999999993</v>
      </c>
      <c r="O63" s="111">
        <v>9.4</v>
      </c>
      <c r="P63" s="61">
        <v>6.9</v>
      </c>
      <c r="Q63" s="111">
        <v>7.1</v>
      </c>
      <c r="R63" s="61">
        <v>87.3</v>
      </c>
      <c r="S63" s="135">
        <v>90.9</v>
      </c>
      <c r="T63" s="44">
        <v>8</v>
      </c>
      <c r="U63" s="110">
        <v>9.8000000000000007</v>
      </c>
      <c r="V63" s="44">
        <v>6.1</v>
      </c>
      <c r="W63" s="110">
        <v>7</v>
      </c>
      <c r="X63" s="44">
        <v>91.8</v>
      </c>
      <c r="Y63" s="135">
        <v>89.7</v>
      </c>
    </row>
    <row r="64" spans="1:25" ht="45" x14ac:dyDescent="0.25">
      <c r="A64" s="8" t="s">
        <v>11</v>
      </c>
      <c r="B64" s="62">
        <v>16.600000000000001</v>
      </c>
      <c r="C64" s="110">
        <v>12</v>
      </c>
      <c r="D64" s="63">
        <v>12.58</v>
      </c>
      <c r="E64" s="111">
        <v>8.5</v>
      </c>
      <c r="F64" s="63">
        <v>83.6</v>
      </c>
      <c r="G64" s="119">
        <v>78.8</v>
      </c>
      <c r="H64" s="61">
        <v>19.73</v>
      </c>
      <c r="I64" s="111">
        <v>16.399999999999999</v>
      </c>
      <c r="J64" s="61">
        <v>15.88</v>
      </c>
      <c r="K64" s="111">
        <v>10.7</v>
      </c>
      <c r="L64" s="61">
        <v>90.45</v>
      </c>
      <c r="M64" s="119">
        <v>74.5</v>
      </c>
      <c r="N64" s="61">
        <v>20.7</v>
      </c>
      <c r="O64" s="111">
        <v>17</v>
      </c>
      <c r="P64" s="61">
        <v>16.2</v>
      </c>
      <c r="Q64" s="111">
        <v>10.7</v>
      </c>
      <c r="R64" s="61">
        <v>85.5</v>
      </c>
      <c r="S64" s="119">
        <v>70.7</v>
      </c>
      <c r="T64" s="44">
        <v>18.3</v>
      </c>
      <c r="U64" s="110">
        <v>17.7</v>
      </c>
      <c r="V64" s="44">
        <v>13.9</v>
      </c>
      <c r="W64" s="110">
        <v>10.8</v>
      </c>
      <c r="X64" s="44">
        <v>82.4</v>
      </c>
      <c r="Y64" s="119">
        <v>69.099999999999994</v>
      </c>
    </row>
    <row r="65" spans="1:26" ht="45" x14ac:dyDescent="0.25">
      <c r="A65" s="8" t="s">
        <v>12</v>
      </c>
      <c r="B65" s="68">
        <v>10.37</v>
      </c>
      <c r="C65" s="112">
        <v>15.3</v>
      </c>
      <c r="D65" s="69">
        <v>8.64</v>
      </c>
      <c r="E65" s="112">
        <v>12.5</v>
      </c>
      <c r="F65" s="69">
        <v>83.72</v>
      </c>
      <c r="G65" s="119">
        <v>85.7</v>
      </c>
      <c r="H65" s="69">
        <v>12.77</v>
      </c>
      <c r="I65" s="112">
        <v>17.8</v>
      </c>
      <c r="J65" s="69">
        <v>10.15</v>
      </c>
      <c r="K65" s="112">
        <v>14</v>
      </c>
      <c r="L65" s="61">
        <v>76.36</v>
      </c>
      <c r="M65" s="119">
        <v>82.2</v>
      </c>
      <c r="N65" s="63">
        <v>14.6</v>
      </c>
      <c r="O65" s="112">
        <v>17.2</v>
      </c>
      <c r="P65" s="63">
        <v>11.5</v>
      </c>
      <c r="Q65" s="112">
        <v>13.3</v>
      </c>
      <c r="R65" s="63">
        <v>74.3</v>
      </c>
      <c r="S65" s="120">
        <v>82.6</v>
      </c>
      <c r="T65" s="44">
        <v>11.4</v>
      </c>
      <c r="U65" s="110">
        <v>17.3</v>
      </c>
      <c r="V65" s="44">
        <v>8.4</v>
      </c>
      <c r="W65" s="112">
        <v>13.3</v>
      </c>
      <c r="X65" s="44">
        <v>70.400000000000006</v>
      </c>
      <c r="Y65" s="120">
        <v>81.8</v>
      </c>
    </row>
    <row r="66" spans="1:26" ht="30" x14ac:dyDescent="0.25">
      <c r="A66" s="183" t="s">
        <v>187</v>
      </c>
      <c r="B66" s="198">
        <v>10.63</v>
      </c>
      <c r="C66" s="185">
        <v>9.5</v>
      </c>
      <c r="D66" s="199">
        <v>8.09</v>
      </c>
      <c r="E66" s="185">
        <v>7.1</v>
      </c>
      <c r="F66" s="199">
        <v>87.63</v>
      </c>
      <c r="G66" s="189">
        <v>84.8</v>
      </c>
      <c r="H66" s="174">
        <v>14.12</v>
      </c>
      <c r="I66" s="185">
        <v>12.5</v>
      </c>
      <c r="J66" s="174">
        <v>11</v>
      </c>
      <c r="K66" s="186">
        <v>9.1</v>
      </c>
      <c r="L66" s="174">
        <v>90.54</v>
      </c>
      <c r="M66" s="189">
        <v>82.8</v>
      </c>
      <c r="N66" s="173">
        <v>13.3</v>
      </c>
      <c r="O66" s="185">
        <v>12.5</v>
      </c>
      <c r="P66" s="174">
        <v>10.5</v>
      </c>
      <c r="Q66" s="186">
        <v>8.9</v>
      </c>
      <c r="R66" s="174">
        <v>83.9</v>
      </c>
      <c r="S66" s="187">
        <v>81.3</v>
      </c>
      <c r="T66" s="173">
        <v>11.6</v>
      </c>
      <c r="U66" s="188">
        <v>13</v>
      </c>
      <c r="V66" s="174">
        <v>8.8000000000000007</v>
      </c>
      <c r="W66" s="185">
        <v>8.9</v>
      </c>
      <c r="X66" s="174">
        <v>83.4</v>
      </c>
      <c r="Y66" s="185">
        <v>80</v>
      </c>
      <c r="Z66" s="19"/>
    </row>
    <row r="67" spans="1:26" ht="15" customHeight="1" x14ac:dyDescent="0.25">
      <c r="A67" s="229" t="s">
        <v>177</v>
      </c>
      <c r="B67" s="229"/>
      <c r="C67" s="229"/>
      <c r="D67" s="229"/>
      <c r="E67" s="229"/>
      <c r="F67" s="229"/>
      <c r="G67" s="147"/>
      <c r="I67" s="147"/>
      <c r="O67" s="147"/>
      <c r="W67" s="147"/>
      <c r="Y67" s="147"/>
    </row>
    <row r="68" spans="1:26" x14ac:dyDescent="0.25">
      <c r="A68" s="251" t="s">
        <v>185</v>
      </c>
      <c r="B68" s="251"/>
      <c r="C68" s="251"/>
      <c r="D68" s="251"/>
      <c r="E68" s="251"/>
      <c r="F68" s="251"/>
      <c r="G68" s="251"/>
      <c r="H68" s="251"/>
      <c r="I68" s="251"/>
      <c r="J68" s="251"/>
      <c r="K68" s="251"/>
    </row>
  </sheetData>
  <mergeCells count="79">
    <mergeCell ref="A68:K68"/>
    <mergeCell ref="A20:G20"/>
    <mergeCell ref="A30:K30"/>
    <mergeCell ref="L23:M23"/>
    <mergeCell ref="L61:M61"/>
    <mergeCell ref="H60:M60"/>
    <mergeCell ref="H61:I61"/>
    <mergeCell ref="J61:K61"/>
    <mergeCell ref="J23:K23"/>
    <mergeCell ref="A67:F67"/>
    <mergeCell ref="A61:A62"/>
    <mergeCell ref="B43:C43"/>
    <mergeCell ref="B60:G60"/>
    <mergeCell ref="B61:C61"/>
    <mergeCell ref="D61:E61"/>
    <mergeCell ref="F61:G61"/>
    <mergeCell ref="T60:Y60"/>
    <mergeCell ref="T61:U61"/>
    <mergeCell ref="V61:W61"/>
    <mergeCell ref="X61:Y61"/>
    <mergeCell ref="R61:S61"/>
    <mergeCell ref="N60:S60"/>
    <mergeCell ref="N61:O61"/>
    <mergeCell ref="P61:Q61"/>
    <mergeCell ref="A19:F19"/>
    <mergeCell ref="A29:F29"/>
    <mergeCell ref="B45:C46"/>
    <mergeCell ref="A47:A51"/>
    <mergeCell ref="B35:C35"/>
    <mergeCell ref="B36:C36"/>
    <mergeCell ref="B44:C44"/>
    <mergeCell ref="B37:C37"/>
    <mergeCell ref="A45:A46"/>
    <mergeCell ref="B51:C51"/>
    <mergeCell ref="B47:C47"/>
    <mergeCell ref="B48:C48"/>
    <mergeCell ref="B49:C49"/>
    <mergeCell ref="B38:C38"/>
    <mergeCell ref="B39:C39"/>
    <mergeCell ref="A22:K22"/>
    <mergeCell ref="F2:G3"/>
    <mergeCell ref="A13:A14"/>
    <mergeCell ref="B13:C13"/>
    <mergeCell ref="D13:E13"/>
    <mergeCell ref="F13:G13"/>
    <mergeCell ref="A2:A4"/>
    <mergeCell ref="B2:C3"/>
    <mergeCell ref="D2:E3"/>
    <mergeCell ref="A10:I10"/>
    <mergeCell ref="A9:F9"/>
    <mergeCell ref="A1:F1"/>
    <mergeCell ref="A12:G12"/>
    <mergeCell ref="B50:C50"/>
    <mergeCell ref="A40:A44"/>
    <mergeCell ref="B40:C40"/>
    <mergeCell ref="A32:I32"/>
    <mergeCell ref="A33:A34"/>
    <mergeCell ref="B33:C34"/>
    <mergeCell ref="B41:C41"/>
    <mergeCell ref="B42:C42"/>
    <mergeCell ref="A35:A39"/>
    <mergeCell ref="H33:K33"/>
    <mergeCell ref="D45:G45"/>
    <mergeCell ref="H45:K45"/>
    <mergeCell ref="H2:I3"/>
    <mergeCell ref="A23:A24"/>
    <mergeCell ref="A59:K59"/>
    <mergeCell ref="A57:F57"/>
    <mergeCell ref="B53:C53"/>
    <mergeCell ref="B54:C54"/>
    <mergeCell ref="A52:A56"/>
    <mergeCell ref="B55:C55"/>
    <mergeCell ref="B56:C56"/>
    <mergeCell ref="B52:C52"/>
    <mergeCell ref="D33:F33"/>
    <mergeCell ref="B23:C23"/>
    <mergeCell ref="D23:E23"/>
    <mergeCell ref="F23:G23"/>
    <mergeCell ref="H23:I23"/>
  </mergeCells>
  <pageMargins left="0.7" right="0.7" top="0.75" bottom="0.75" header="0.3" footer="0.3"/>
  <pageSetup paperSize="9" scale="52" fitToHeight="0" orientation="landscape" r:id="rId1"/>
  <rowBreaks count="3" manualBreakCount="3">
    <brk id="21" max="16383" man="1"/>
    <brk id="44" max="16383" man="1"/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1"/>
  <sheetViews>
    <sheetView workbookViewId="0">
      <selection activeCell="F22" sqref="F22"/>
    </sheetView>
  </sheetViews>
  <sheetFormatPr defaultColWidth="9.140625" defaultRowHeight="15" x14ac:dyDescent="0.25"/>
  <cols>
    <col min="1" max="1" width="39.5703125" style="32" customWidth="1"/>
    <col min="2" max="13" width="18.28515625" style="32" customWidth="1"/>
    <col min="14" max="16384" width="9.140625" style="32"/>
  </cols>
  <sheetData>
    <row r="1" spans="1:14" x14ac:dyDescent="0.25">
      <c r="A1" s="228" t="s">
        <v>202</v>
      </c>
      <c r="B1" s="228"/>
      <c r="C1" s="228"/>
      <c r="D1" s="228"/>
      <c r="E1" s="228"/>
      <c r="F1" s="228"/>
    </row>
    <row r="2" spans="1:14" x14ac:dyDescent="0.25">
      <c r="B2" s="262" t="s">
        <v>198</v>
      </c>
      <c r="C2" s="263"/>
      <c r="D2" s="264"/>
      <c r="E2" s="263" t="s">
        <v>199</v>
      </c>
      <c r="F2" s="263"/>
      <c r="G2" s="264"/>
      <c r="H2" s="262" t="s">
        <v>204</v>
      </c>
      <c r="I2" s="263"/>
      <c r="J2" s="264"/>
      <c r="K2" s="262" t="s">
        <v>201</v>
      </c>
      <c r="L2" s="263"/>
      <c r="M2" s="264"/>
    </row>
    <row r="3" spans="1:14" ht="75" x14ac:dyDescent="0.25">
      <c r="A3" s="34" t="s">
        <v>27</v>
      </c>
      <c r="B3" s="35" t="s">
        <v>44</v>
      </c>
      <c r="C3" s="35" t="s">
        <v>15</v>
      </c>
      <c r="D3" s="36" t="s">
        <v>183</v>
      </c>
      <c r="E3" s="35" t="s">
        <v>44</v>
      </c>
      <c r="F3" s="35" t="s">
        <v>15</v>
      </c>
      <c r="G3" s="36" t="s">
        <v>183</v>
      </c>
      <c r="H3" s="35" t="s">
        <v>44</v>
      </c>
      <c r="I3" s="35" t="s">
        <v>15</v>
      </c>
      <c r="J3" s="36" t="s">
        <v>183</v>
      </c>
      <c r="K3" s="35" t="s">
        <v>44</v>
      </c>
      <c r="L3" s="35" t="s">
        <v>15</v>
      </c>
      <c r="M3" s="36" t="s">
        <v>183</v>
      </c>
      <c r="N3" s="56"/>
    </row>
    <row r="4" spans="1:14" x14ac:dyDescent="0.25">
      <c r="A4" s="82" t="s">
        <v>28</v>
      </c>
      <c r="B4" s="75">
        <v>90.91</v>
      </c>
      <c r="C4" s="75">
        <v>89.39</v>
      </c>
      <c r="D4" s="146">
        <v>92.42</v>
      </c>
      <c r="E4" s="75">
        <v>86.44</v>
      </c>
      <c r="F4" s="75">
        <v>89.83</v>
      </c>
      <c r="G4" s="146">
        <v>86.44</v>
      </c>
      <c r="H4" s="75">
        <f>51.6+35.9</f>
        <v>87.5</v>
      </c>
      <c r="I4" s="75">
        <f>35.9+51.6</f>
        <v>87.5</v>
      </c>
      <c r="J4" s="75">
        <f>56.3+39.1</f>
        <v>95.4</v>
      </c>
      <c r="K4" s="76">
        <f>37.5+51.8</f>
        <v>89.3</v>
      </c>
      <c r="L4" s="44">
        <f>33.9+58.9</f>
        <v>92.8</v>
      </c>
      <c r="M4" s="77">
        <f>46.4+42.9</f>
        <v>89.3</v>
      </c>
    </row>
    <row r="5" spans="1:14" x14ac:dyDescent="0.25">
      <c r="A5" s="82" t="s">
        <v>37</v>
      </c>
      <c r="B5" s="75">
        <v>87.36</v>
      </c>
      <c r="C5" s="75">
        <v>86.26</v>
      </c>
      <c r="D5" s="77">
        <v>79.67</v>
      </c>
      <c r="E5" s="75">
        <v>94.09</v>
      </c>
      <c r="F5" s="75">
        <v>90.32</v>
      </c>
      <c r="G5" s="77">
        <v>86.56</v>
      </c>
      <c r="H5" s="75">
        <f>43.3+50.2</f>
        <v>93.5</v>
      </c>
      <c r="I5" s="75">
        <f>25.5+61</f>
        <v>86.5</v>
      </c>
      <c r="J5" s="75">
        <f>35.9+35.9</f>
        <v>71.8</v>
      </c>
      <c r="K5" s="76">
        <f>40.2+51.5</f>
        <v>91.7</v>
      </c>
      <c r="L5" s="44">
        <f>22.8+60.2</f>
        <v>83</v>
      </c>
      <c r="M5" s="77">
        <f>24.5+54.8</f>
        <v>79.3</v>
      </c>
    </row>
    <row r="6" spans="1:14" x14ac:dyDescent="0.25">
      <c r="A6" s="82" t="s">
        <v>29</v>
      </c>
      <c r="B6" s="75">
        <v>93.27</v>
      </c>
      <c r="C6" s="75">
        <v>90.13</v>
      </c>
      <c r="D6" s="77">
        <v>92.38</v>
      </c>
      <c r="E6" s="75">
        <v>89.67</v>
      </c>
      <c r="F6" s="75">
        <v>86.78</v>
      </c>
      <c r="G6" s="77">
        <v>89.67</v>
      </c>
      <c r="H6" s="75">
        <f>55.5+38.9</f>
        <v>94.4</v>
      </c>
      <c r="I6" s="75">
        <f>30.1+61.6</f>
        <v>91.7</v>
      </c>
      <c r="J6" s="75">
        <f>52.8+37.1</f>
        <v>89.9</v>
      </c>
      <c r="K6" s="76">
        <f>42.9+49.8</f>
        <v>92.699999999999989</v>
      </c>
      <c r="L6" s="44">
        <f>19+70.6</f>
        <v>89.6</v>
      </c>
      <c r="M6" s="77">
        <f>40.7+51.5</f>
        <v>92.2</v>
      </c>
    </row>
    <row r="7" spans="1:14" ht="30" x14ac:dyDescent="0.25">
      <c r="A7" s="82" t="s">
        <v>42</v>
      </c>
      <c r="B7" s="75">
        <v>92.21</v>
      </c>
      <c r="C7" s="75">
        <v>91.77</v>
      </c>
      <c r="D7" s="77">
        <v>91.77</v>
      </c>
      <c r="E7" s="75">
        <v>86.03</v>
      </c>
      <c r="F7" s="75">
        <v>84.36</v>
      </c>
      <c r="G7" s="77">
        <v>87.71</v>
      </c>
      <c r="H7" s="75">
        <f>54.8+38.1</f>
        <v>92.9</v>
      </c>
      <c r="I7" s="75">
        <f>41.3+52.9</f>
        <v>94.199999999999989</v>
      </c>
      <c r="J7" s="75">
        <f>46.5+40.6</f>
        <v>87.1</v>
      </c>
      <c r="K7" s="76">
        <f>58.1+36</f>
        <v>94.1</v>
      </c>
      <c r="L7" s="44">
        <f>36+56.6</f>
        <v>92.6</v>
      </c>
      <c r="M7" s="77">
        <f>37.5+53.7</f>
        <v>91.2</v>
      </c>
    </row>
    <row r="8" spans="1:14" x14ac:dyDescent="0.25">
      <c r="A8" s="82" t="s">
        <v>30</v>
      </c>
      <c r="B8" s="75">
        <v>91.53</v>
      </c>
      <c r="C8" s="75">
        <v>89.95</v>
      </c>
      <c r="D8" s="77">
        <v>89.95</v>
      </c>
      <c r="E8" s="75">
        <v>88.59</v>
      </c>
      <c r="F8" s="75">
        <v>84.24</v>
      </c>
      <c r="G8" s="77">
        <v>88.59</v>
      </c>
      <c r="H8" s="75">
        <f>54.2+37.3</f>
        <v>91.5</v>
      </c>
      <c r="I8" s="75">
        <f>38.6+51.4</f>
        <v>90</v>
      </c>
      <c r="J8" s="75">
        <f>50.2+38.6</f>
        <v>88.800000000000011</v>
      </c>
      <c r="K8" s="76">
        <f>49.6+44.3</f>
        <v>93.9</v>
      </c>
      <c r="L8" s="44">
        <f>31.7+58.3</f>
        <v>90</v>
      </c>
      <c r="M8" s="77">
        <f>33.5+50.4</f>
        <v>83.9</v>
      </c>
    </row>
    <row r="9" spans="1:14" ht="30" x14ac:dyDescent="0.25">
      <c r="A9" s="82" t="s">
        <v>31</v>
      </c>
      <c r="B9" s="75">
        <v>90.24</v>
      </c>
      <c r="C9" s="75">
        <v>92.07</v>
      </c>
      <c r="D9" s="77">
        <v>82.32</v>
      </c>
      <c r="E9" s="75">
        <v>90.57</v>
      </c>
      <c r="F9" s="75">
        <v>88.68</v>
      </c>
      <c r="G9" s="77">
        <v>89.94</v>
      </c>
      <c r="H9" s="75">
        <f>33.3+57.6</f>
        <v>90.9</v>
      </c>
      <c r="I9" s="75">
        <f>26.1+66.7</f>
        <v>92.800000000000011</v>
      </c>
      <c r="J9" s="75">
        <f>30.9+49.1</f>
        <v>80</v>
      </c>
      <c r="K9" s="76">
        <f>35.3+56.1</f>
        <v>91.4</v>
      </c>
      <c r="L9" s="44">
        <f>28.1+65.5</f>
        <v>93.6</v>
      </c>
      <c r="M9" s="77">
        <f>29.5+49.6</f>
        <v>79.099999999999994</v>
      </c>
    </row>
    <row r="10" spans="1:14" x14ac:dyDescent="0.25">
      <c r="A10" s="82" t="s">
        <v>41</v>
      </c>
      <c r="B10" s="75">
        <v>95.12</v>
      </c>
      <c r="C10" s="75">
        <v>90.24</v>
      </c>
      <c r="D10" s="77">
        <v>84.55</v>
      </c>
      <c r="E10" s="75">
        <v>92.31</v>
      </c>
      <c r="F10" s="75">
        <v>89.23</v>
      </c>
      <c r="G10" s="77">
        <v>92.31</v>
      </c>
      <c r="H10" s="75">
        <f>41.5+48.1</f>
        <v>89.6</v>
      </c>
      <c r="I10" s="75">
        <f>30.4+64.4</f>
        <v>94.800000000000011</v>
      </c>
      <c r="J10" s="75">
        <f>43.7+39.3</f>
        <v>83</v>
      </c>
      <c r="K10" s="76">
        <f>39.6+49.6</f>
        <v>89.2</v>
      </c>
      <c r="L10" s="44">
        <f>23+67.6</f>
        <v>90.6</v>
      </c>
      <c r="M10" s="77">
        <f>23.7+59.7</f>
        <v>83.4</v>
      </c>
    </row>
    <row r="11" spans="1:14" ht="30" x14ac:dyDescent="0.25">
      <c r="A11" s="82" t="s">
        <v>43</v>
      </c>
      <c r="B11" s="75">
        <v>95.28</v>
      </c>
      <c r="C11" s="75">
        <v>97.17</v>
      </c>
      <c r="D11" s="77">
        <v>94.34</v>
      </c>
      <c r="E11" s="75">
        <v>92.61</v>
      </c>
      <c r="F11" s="75">
        <v>92.61</v>
      </c>
      <c r="G11" s="77">
        <v>87.94</v>
      </c>
      <c r="H11" s="75">
        <f>44.2+47</f>
        <v>91.2</v>
      </c>
      <c r="I11" s="75">
        <f>35+55.3</f>
        <v>90.3</v>
      </c>
      <c r="J11" s="75">
        <f>49.8+40.1</f>
        <v>89.9</v>
      </c>
      <c r="K11" s="76">
        <f>54.3+37.8</f>
        <v>92.1</v>
      </c>
      <c r="L11" s="44">
        <f>40.4+55.9</f>
        <v>96.3</v>
      </c>
      <c r="M11" s="77">
        <f>47.3+44.1</f>
        <v>91.4</v>
      </c>
    </row>
    <row r="12" spans="1:14" x14ac:dyDescent="0.25">
      <c r="A12" s="82" t="s">
        <v>32</v>
      </c>
      <c r="B12" s="75">
        <v>94.9</v>
      </c>
      <c r="C12" s="75">
        <v>96.94</v>
      </c>
      <c r="D12" s="77">
        <v>88.78</v>
      </c>
      <c r="E12" s="75">
        <v>94.12</v>
      </c>
      <c r="F12" s="75">
        <v>88.24</v>
      </c>
      <c r="G12" s="77">
        <v>89.41</v>
      </c>
      <c r="H12" s="75">
        <f>62.3+36.2</f>
        <v>98.5</v>
      </c>
      <c r="I12" s="75">
        <f>36.2+60.9</f>
        <v>97.1</v>
      </c>
      <c r="J12" s="75">
        <f>55.1+30.4</f>
        <v>85.5</v>
      </c>
      <c r="K12" s="76">
        <f>47.5+45.5</f>
        <v>93</v>
      </c>
      <c r="L12" s="44">
        <f>39.4+53.5</f>
        <v>92.9</v>
      </c>
      <c r="M12" s="78">
        <f>39.4+47.5</f>
        <v>86.9</v>
      </c>
    </row>
    <row r="13" spans="1:14" ht="18.75" customHeight="1" x14ac:dyDescent="0.25">
      <c r="A13" s="82" t="s">
        <v>38</v>
      </c>
      <c r="B13" s="75">
        <v>95.38</v>
      </c>
      <c r="C13" s="75">
        <v>95.38</v>
      </c>
      <c r="D13" s="77">
        <v>87.69</v>
      </c>
      <c r="E13" s="75">
        <v>75.64</v>
      </c>
      <c r="F13" s="75">
        <v>85.9</v>
      </c>
      <c r="G13" s="77">
        <v>80.77</v>
      </c>
      <c r="H13" s="75">
        <f>46.7+48.3</f>
        <v>95</v>
      </c>
      <c r="I13" s="75">
        <f>41.7+56.7</f>
        <v>98.4</v>
      </c>
      <c r="J13" s="75">
        <f>56.7+36.7</f>
        <v>93.4</v>
      </c>
      <c r="K13" s="76">
        <f>58.3+38.3</f>
        <v>96.6</v>
      </c>
      <c r="L13" s="44">
        <f>45+53.3</f>
        <v>98.3</v>
      </c>
      <c r="M13" s="77">
        <f>53.3+38.3</f>
        <v>91.6</v>
      </c>
    </row>
    <row r="14" spans="1:14" ht="27.75" customHeight="1" x14ac:dyDescent="0.25">
      <c r="A14" s="82" t="s">
        <v>33</v>
      </c>
      <c r="B14" s="75">
        <v>84.62</v>
      </c>
      <c r="C14" s="75">
        <v>78.959999999999994</v>
      </c>
      <c r="D14" s="77">
        <v>65.16</v>
      </c>
      <c r="E14" s="75">
        <v>80.62</v>
      </c>
      <c r="F14" s="75">
        <v>70.22</v>
      </c>
      <c r="G14" s="77">
        <v>66.290000000000006</v>
      </c>
      <c r="H14" s="75">
        <f>30.7+55.1</f>
        <v>85.8</v>
      </c>
      <c r="I14" s="75">
        <f>13.4+57.5</f>
        <v>70.900000000000006</v>
      </c>
      <c r="J14" s="75">
        <f>29.1+41.4</f>
        <v>70.5</v>
      </c>
      <c r="K14" s="76">
        <f>30.6+56.7</f>
        <v>87.300000000000011</v>
      </c>
      <c r="L14" s="44">
        <f>12.2+62.1</f>
        <v>74.3</v>
      </c>
      <c r="M14" s="78">
        <f>15.2+50.9</f>
        <v>66.099999999999994</v>
      </c>
    </row>
    <row r="15" spans="1:14" x14ac:dyDescent="0.25">
      <c r="A15" s="82" t="s">
        <v>39</v>
      </c>
      <c r="B15" s="75">
        <v>97.65</v>
      </c>
      <c r="C15" s="75">
        <v>94.71</v>
      </c>
      <c r="D15" s="77">
        <v>93.53</v>
      </c>
      <c r="E15" s="75">
        <v>92.9</v>
      </c>
      <c r="F15" s="75">
        <v>91.26</v>
      </c>
      <c r="G15" s="77">
        <v>92.9</v>
      </c>
      <c r="H15" s="75">
        <f>57.4+39</f>
        <v>96.4</v>
      </c>
      <c r="I15" s="75">
        <f>40.4+54.4</f>
        <v>94.8</v>
      </c>
      <c r="J15" s="75">
        <f>61+34.6</f>
        <v>95.6</v>
      </c>
      <c r="K15" s="76">
        <f>50.3+42.1</f>
        <v>92.4</v>
      </c>
      <c r="L15" s="44">
        <f>44.7+52.2</f>
        <v>96.9</v>
      </c>
      <c r="M15" s="77">
        <f>53.5+42.1</f>
        <v>95.6</v>
      </c>
    </row>
    <row r="16" spans="1:14" x14ac:dyDescent="0.25">
      <c r="A16" s="82" t="s">
        <v>40</v>
      </c>
      <c r="B16" s="75">
        <v>93.11</v>
      </c>
      <c r="C16" s="75">
        <v>97.25</v>
      </c>
      <c r="D16" s="77">
        <v>93.39</v>
      </c>
      <c r="E16" s="75">
        <v>88.73</v>
      </c>
      <c r="F16" s="75">
        <v>94.37</v>
      </c>
      <c r="G16" s="77">
        <v>92.96</v>
      </c>
      <c r="H16" s="75">
        <f>44.1+48.2</f>
        <v>92.300000000000011</v>
      </c>
      <c r="I16" s="75">
        <f>33.8+62.1</f>
        <v>95.9</v>
      </c>
      <c r="J16" s="75">
        <f>55.4+39</f>
        <v>94.4</v>
      </c>
      <c r="K16" s="76">
        <f>36+50</f>
        <v>86</v>
      </c>
      <c r="L16" s="44">
        <f>26.8+64</f>
        <v>90.8</v>
      </c>
      <c r="M16" s="77">
        <f>41.5+51.2</f>
        <v>92.7</v>
      </c>
    </row>
    <row r="17" spans="1:13" x14ac:dyDescent="0.25">
      <c r="A17" s="82" t="s">
        <v>34</v>
      </c>
      <c r="B17" s="75">
        <v>95.68</v>
      </c>
      <c r="C17" s="75">
        <v>97.53</v>
      </c>
      <c r="D17" s="77">
        <v>94.44</v>
      </c>
      <c r="E17" s="75">
        <v>93.57</v>
      </c>
      <c r="F17" s="75">
        <v>92.98</v>
      </c>
      <c r="G17" s="77">
        <v>92.98</v>
      </c>
      <c r="H17" s="75">
        <f>53.1+38.8</f>
        <v>91.9</v>
      </c>
      <c r="I17" s="75">
        <f>45.6+49</f>
        <v>94.6</v>
      </c>
      <c r="J17" s="75">
        <f>58.5+32</f>
        <v>90.5</v>
      </c>
      <c r="K17" s="76">
        <f>53.4+39.9</f>
        <v>93.3</v>
      </c>
      <c r="L17" s="44">
        <f>43.6+50.3</f>
        <v>93.9</v>
      </c>
      <c r="M17" s="78">
        <f>44.8+44.8</f>
        <v>89.6</v>
      </c>
    </row>
    <row r="18" spans="1:13" x14ac:dyDescent="0.25">
      <c r="A18" s="82" t="s">
        <v>35</v>
      </c>
      <c r="B18" s="75">
        <v>92.13</v>
      </c>
      <c r="C18" s="75">
        <v>89.44</v>
      </c>
      <c r="D18" s="77">
        <v>90.34</v>
      </c>
      <c r="E18" s="75">
        <v>87.42</v>
      </c>
      <c r="F18" s="75">
        <v>83.89</v>
      </c>
      <c r="G18" s="158">
        <v>84.55</v>
      </c>
      <c r="H18" s="75">
        <f>38.8+51.7</f>
        <v>90.5</v>
      </c>
      <c r="I18" s="75">
        <f>19.5+68</f>
        <v>87.5</v>
      </c>
      <c r="J18" s="75">
        <f>49.1+42.9</f>
        <v>92</v>
      </c>
      <c r="K18" s="76">
        <f>33.4+57</f>
        <v>90.4</v>
      </c>
      <c r="L18" s="44">
        <f>15.4+67.1</f>
        <v>82.5</v>
      </c>
      <c r="M18" s="77">
        <f>33.9+55.6</f>
        <v>89.5</v>
      </c>
    </row>
    <row r="19" spans="1:13" x14ac:dyDescent="0.25">
      <c r="A19" s="83" t="s">
        <v>36</v>
      </c>
      <c r="B19" s="201">
        <v>91.68</v>
      </c>
      <c r="C19" s="164">
        <v>90.46</v>
      </c>
      <c r="D19" s="165">
        <v>86.43</v>
      </c>
      <c r="E19" s="80">
        <v>88.7</v>
      </c>
      <c r="F19" s="80">
        <v>89.9</v>
      </c>
      <c r="G19" s="81">
        <v>87.6</v>
      </c>
      <c r="H19" s="80">
        <f>44.8+46.6</f>
        <v>91.4</v>
      </c>
      <c r="I19" s="80">
        <f>29.4+59.4</f>
        <v>88.8</v>
      </c>
      <c r="J19" s="81">
        <f>46.4+39.5</f>
        <v>85.9</v>
      </c>
      <c r="K19" s="79">
        <f>41.9+49.1</f>
        <v>91</v>
      </c>
      <c r="L19" s="80">
        <f>26.6+61.2</f>
        <v>87.800000000000011</v>
      </c>
      <c r="M19" s="81">
        <f>34.3+50.6</f>
        <v>84.9</v>
      </c>
    </row>
    <row r="20" spans="1:13" x14ac:dyDescent="0.25">
      <c r="A20" s="83" t="s">
        <v>4</v>
      </c>
      <c r="B20" s="200">
        <v>90.5</v>
      </c>
      <c r="C20" s="164">
        <v>88.8</v>
      </c>
      <c r="D20" s="164">
        <v>84.4</v>
      </c>
      <c r="E20" s="202">
        <v>90.800000000000011</v>
      </c>
      <c r="F20" s="150">
        <v>88.6</v>
      </c>
      <c r="G20" s="151">
        <v>85.9</v>
      </c>
      <c r="H20" s="80">
        <f>41+49.1</f>
        <v>90.1</v>
      </c>
      <c r="I20" s="80">
        <f>25.3+62.5</f>
        <v>87.8</v>
      </c>
      <c r="J20" s="81">
        <f>41.5+43.1</f>
        <v>84.6</v>
      </c>
      <c r="K20" s="79">
        <f>38.4+50.5</f>
        <v>88.9</v>
      </c>
      <c r="L20" s="80">
        <f>23.2+63.2</f>
        <v>86.4</v>
      </c>
      <c r="M20" s="81">
        <v>82.7</v>
      </c>
    </row>
    <row r="21" spans="1:13" x14ac:dyDescent="0.25">
      <c r="A21" s="229" t="s">
        <v>177</v>
      </c>
      <c r="B21" s="229"/>
      <c r="C21" s="229"/>
      <c r="D21" s="229"/>
      <c r="E21" s="229"/>
      <c r="F21" s="229"/>
    </row>
  </sheetData>
  <mergeCells count="6">
    <mergeCell ref="K2:M2"/>
    <mergeCell ref="H2:J2"/>
    <mergeCell ref="E2:G2"/>
    <mergeCell ref="A1:F1"/>
    <mergeCell ref="A21:F21"/>
    <mergeCell ref="B2:D2"/>
  </mergeCells>
  <pageMargins left="0.7" right="0.7" top="0.75" bottom="0.75" header="0.3" footer="0.3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91"/>
  <sheetViews>
    <sheetView topLeftCell="A41" zoomScaleNormal="100" workbookViewId="0">
      <selection activeCell="D41" sqref="D41"/>
    </sheetView>
  </sheetViews>
  <sheetFormatPr defaultColWidth="9.140625" defaultRowHeight="15" x14ac:dyDescent="0.25"/>
  <cols>
    <col min="1" max="1" width="20" style="32" customWidth="1"/>
    <col min="2" max="2" width="13.42578125" style="32" customWidth="1"/>
    <col min="3" max="16384" width="9.140625" style="32"/>
  </cols>
  <sheetData>
    <row r="1" spans="1:15" ht="30" customHeight="1" x14ac:dyDescent="0.25">
      <c r="A1" s="273" t="s">
        <v>207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3" spans="1:15" ht="82.5" customHeight="1" x14ac:dyDescent="0.25">
      <c r="A3" s="267" t="s">
        <v>46</v>
      </c>
      <c r="B3" s="267" t="s">
        <v>47</v>
      </c>
      <c r="C3" s="265" t="s">
        <v>189</v>
      </c>
      <c r="D3" s="259"/>
      <c r="E3" s="265" t="s">
        <v>13</v>
      </c>
      <c r="F3" s="266"/>
      <c r="G3" s="259" t="s">
        <v>14</v>
      </c>
      <c r="H3" s="259"/>
      <c r="I3" s="265" t="s">
        <v>15</v>
      </c>
      <c r="J3" s="266"/>
      <c r="K3" s="259" t="s">
        <v>183</v>
      </c>
      <c r="L3" s="259"/>
      <c r="M3" s="265" t="s">
        <v>48</v>
      </c>
      <c r="N3" s="266"/>
    </row>
    <row r="4" spans="1:15" x14ac:dyDescent="0.25">
      <c r="A4" s="268"/>
      <c r="B4" s="268"/>
      <c r="C4" s="41" t="s">
        <v>3</v>
      </c>
      <c r="D4" s="42" t="s">
        <v>17</v>
      </c>
      <c r="E4" s="41" t="s">
        <v>3</v>
      </c>
      <c r="F4" s="43" t="s">
        <v>17</v>
      </c>
      <c r="G4" s="42" t="s">
        <v>3</v>
      </c>
      <c r="H4" s="42" t="s">
        <v>17</v>
      </c>
      <c r="I4" s="41" t="s">
        <v>3</v>
      </c>
      <c r="J4" s="43" t="s">
        <v>17</v>
      </c>
      <c r="K4" s="42" t="s">
        <v>3</v>
      </c>
      <c r="L4" s="42" t="s">
        <v>17</v>
      </c>
      <c r="M4" s="41" t="s">
        <v>3</v>
      </c>
      <c r="N4" s="43" t="s">
        <v>17</v>
      </c>
    </row>
    <row r="5" spans="1:15" x14ac:dyDescent="0.25">
      <c r="A5" s="85" t="s">
        <v>205</v>
      </c>
      <c r="B5" s="86" t="s">
        <v>206</v>
      </c>
      <c r="C5" s="87">
        <v>5</v>
      </c>
      <c r="D5" s="108">
        <v>4125</v>
      </c>
      <c r="E5" s="203">
        <v>80</v>
      </c>
      <c r="F5" s="119">
        <v>88.8</v>
      </c>
      <c r="G5" s="203">
        <v>75</v>
      </c>
      <c r="H5" s="119">
        <v>91.8</v>
      </c>
      <c r="I5" s="203">
        <v>75</v>
      </c>
      <c r="J5" s="110">
        <v>90.6</v>
      </c>
      <c r="K5" s="203">
        <v>75</v>
      </c>
      <c r="L5" s="110">
        <v>85</v>
      </c>
      <c r="M5" s="203">
        <v>75</v>
      </c>
      <c r="N5" s="114">
        <v>74.7</v>
      </c>
    </row>
    <row r="6" spans="1:15" x14ac:dyDescent="0.25">
      <c r="A6" s="85" t="s">
        <v>49</v>
      </c>
      <c r="B6" s="86" t="s">
        <v>50</v>
      </c>
      <c r="C6" s="87">
        <v>32</v>
      </c>
      <c r="D6" s="108">
        <v>3265</v>
      </c>
      <c r="E6" s="116">
        <v>100</v>
      </c>
      <c r="F6" s="119">
        <v>95.4</v>
      </c>
      <c r="G6" s="88">
        <v>100</v>
      </c>
      <c r="H6" s="110">
        <f>41.6+50.1</f>
        <v>91.7</v>
      </c>
      <c r="I6" s="116">
        <v>81.25</v>
      </c>
      <c r="J6" s="119">
        <f>22.1+67.4</f>
        <v>89.5</v>
      </c>
      <c r="K6" s="88">
        <v>87.5</v>
      </c>
      <c r="L6" s="110">
        <f>37.3+44.8</f>
        <v>82.1</v>
      </c>
      <c r="M6" s="116">
        <v>84.38</v>
      </c>
      <c r="N6" s="114">
        <v>70</v>
      </c>
    </row>
    <row r="7" spans="1:15" ht="45" x14ac:dyDescent="0.25">
      <c r="A7" s="85" t="s">
        <v>52</v>
      </c>
      <c r="B7" s="86" t="s">
        <v>53</v>
      </c>
      <c r="C7" s="87">
        <v>6</v>
      </c>
      <c r="D7" s="108">
        <v>2520</v>
      </c>
      <c r="E7" s="116">
        <v>100</v>
      </c>
      <c r="F7" s="119">
        <v>94.2</v>
      </c>
      <c r="G7" s="116">
        <v>50</v>
      </c>
      <c r="H7" s="110">
        <f>40.4+48.1</f>
        <v>88.5</v>
      </c>
      <c r="I7" s="116">
        <v>33.33</v>
      </c>
      <c r="J7" s="119">
        <f>29.3+60.3</f>
        <v>89.6</v>
      </c>
      <c r="K7" s="116">
        <v>66.67</v>
      </c>
      <c r="L7" s="110">
        <f>45.1+40.4</f>
        <v>85.5</v>
      </c>
      <c r="M7" s="116">
        <v>16.670000000000002</v>
      </c>
      <c r="N7" s="114">
        <v>69.3</v>
      </c>
      <c r="O7" s="45"/>
    </row>
    <row r="8" spans="1:15" ht="30" x14ac:dyDescent="0.25">
      <c r="A8" s="85" t="s">
        <v>54</v>
      </c>
      <c r="B8" s="86" t="s">
        <v>55</v>
      </c>
      <c r="C8" s="87">
        <v>210</v>
      </c>
      <c r="D8" s="108">
        <v>19171</v>
      </c>
      <c r="E8" s="116">
        <v>91.4</v>
      </c>
      <c r="F8" s="119">
        <v>93.7</v>
      </c>
      <c r="G8" s="88">
        <v>92.71</v>
      </c>
      <c r="H8" s="110">
        <f>40.2+51.6</f>
        <v>91.800000000000011</v>
      </c>
      <c r="I8" s="116">
        <v>90.1</v>
      </c>
      <c r="J8" s="119">
        <f>21.4+65.6</f>
        <v>87</v>
      </c>
      <c r="K8" s="88">
        <v>89.58</v>
      </c>
      <c r="L8" s="110">
        <f>43.1+45.7</f>
        <v>88.800000000000011</v>
      </c>
      <c r="M8" s="116">
        <v>80.209999999999994</v>
      </c>
      <c r="N8" s="114">
        <v>73.8</v>
      </c>
    </row>
    <row r="9" spans="1:15" ht="30" x14ac:dyDescent="0.25">
      <c r="A9" s="85" t="s">
        <v>167</v>
      </c>
      <c r="B9" s="86" t="s">
        <v>56</v>
      </c>
      <c r="C9" s="87">
        <v>16</v>
      </c>
      <c r="D9" s="108">
        <v>2023</v>
      </c>
      <c r="E9" s="116">
        <v>100</v>
      </c>
      <c r="F9" s="119">
        <v>95.7</v>
      </c>
      <c r="G9" s="88">
        <v>93.75</v>
      </c>
      <c r="H9" s="113">
        <f>45.4+45.8</f>
        <v>91.199999999999989</v>
      </c>
      <c r="I9" s="116">
        <v>87.5</v>
      </c>
      <c r="J9" s="114">
        <f>24.4+64.1</f>
        <v>88.5</v>
      </c>
      <c r="K9" s="88">
        <v>75</v>
      </c>
      <c r="L9" s="113">
        <f>31.3+42</f>
        <v>73.3</v>
      </c>
      <c r="M9" s="116">
        <v>81.25</v>
      </c>
      <c r="N9" s="114">
        <v>79.2</v>
      </c>
    </row>
    <row r="10" spans="1:15" ht="60" x14ac:dyDescent="0.25">
      <c r="A10" s="85" t="s">
        <v>57</v>
      </c>
      <c r="B10" s="86" t="s">
        <v>58</v>
      </c>
      <c r="C10" s="87">
        <v>28</v>
      </c>
      <c r="D10" s="108">
        <v>4023</v>
      </c>
      <c r="E10" s="116">
        <v>100</v>
      </c>
      <c r="F10" s="119">
        <v>94.8</v>
      </c>
      <c r="G10" s="88">
        <v>96.43</v>
      </c>
      <c r="H10" s="110">
        <f>29.4+54</f>
        <v>83.4</v>
      </c>
      <c r="I10" s="116">
        <v>96.43</v>
      </c>
      <c r="J10" s="119">
        <f>22.4+63.3</f>
        <v>85.699999999999989</v>
      </c>
      <c r="K10" s="88">
        <v>92.86</v>
      </c>
      <c r="L10" s="110">
        <f>35.4+41.8</f>
        <v>77.199999999999989</v>
      </c>
      <c r="M10" s="116">
        <v>96.43</v>
      </c>
      <c r="N10" s="114">
        <v>65.2</v>
      </c>
    </row>
    <row r="11" spans="1:15" ht="60" x14ac:dyDescent="0.25">
      <c r="A11" s="85" t="s">
        <v>60</v>
      </c>
      <c r="B11" s="86" t="s">
        <v>53</v>
      </c>
      <c r="C11" s="87">
        <v>14</v>
      </c>
      <c r="D11" s="108">
        <v>2520</v>
      </c>
      <c r="E11" s="116">
        <v>100</v>
      </c>
      <c r="F11" s="119">
        <v>94.2</v>
      </c>
      <c r="G11" s="88">
        <v>92.86</v>
      </c>
      <c r="H11" s="110">
        <v>88.5</v>
      </c>
      <c r="I11" s="116">
        <v>85.71</v>
      </c>
      <c r="J11" s="119">
        <v>89.6</v>
      </c>
      <c r="K11" s="88">
        <v>100</v>
      </c>
      <c r="L11" s="110">
        <v>85.5</v>
      </c>
      <c r="M11" s="116">
        <v>71.430000000000007</v>
      </c>
      <c r="N11" s="114">
        <v>69.3</v>
      </c>
    </row>
    <row r="12" spans="1:15" ht="60" x14ac:dyDescent="0.25">
      <c r="A12" s="85" t="s">
        <v>61</v>
      </c>
      <c r="B12" s="86" t="s">
        <v>62</v>
      </c>
      <c r="C12" s="87">
        <v>176</v>
      </c>
      <c r="D12" s="108">
        <v>10541</v>
      </c>
      <c r="E12" s="116">
        <v>99.4</v>
      </c>
      <c r="F12" s="119">
        <v>94.4</v>
      </c>
      <c r="G12" s="88">
        <v>89.7</v>
      </c>
      <c r="H12" s="110">
        <f>43.3+48.1</f>
        <v>91.4</v>
      </c>
      <c r="I12" s="116">
        <v>88</v>
      </c>
      <c r="J12" s="119">
        <f>29.9+59.5</f>
        <v>89.4</v>
      </c>
      <c r="K12" s="88">
        <v>66.3</v>
      </c>
      <c r="L12" s="110">
        <f>36.4+38.8</f>
        <v>75.199999999999989</v>
      </c>
      <c r="M12" s="116">
        <v>61.7</v>
      </c>
      <c r="N12" s="114">
        <v>71.099999999999994</v>
      </c>
    </row>
    <row r="13" spans="1:15" ht="30" x14ac:dyDescent="0.25">
      <c r="A13" s="89" t="s">
        <v>63</v>
      </c>
      <c r="B13" s="90" t="s">
        <v>64</v>
      </c>
      <c r="C13" s="91">
        <v>37</v>
      </c>
      <c r="D13" s="167">
        <v>7417</v>
      </c>
      <c r="E13" s="118">
        <v>97.3</v>
      </c>
      <c r="F13" s="120">
        <v>93.9</v>
      </c>
      <c r="G13" s="92">
        <v>88.9</v>
      </c>
      <c r="H13" s="112">
        <f>39+51.1</f>
        <v>90.1</v>
      </c>
      <c r="I13" s="118">
        <v>91.7</v>
      </c>
      <c r="J13" s="120">
        <f>19.4+65.4</f>
        <v>84.800000000000011</v>
      </c>
      <c r="K13" s="92">
        <v>72.2</v>
      </c>
      <c r="L13" s="112">
        <f>32.2+44.4</f>
        <v>76.599999999999994</v>
      </c>
      <c r="M13" s="118">
        <v>72.2</v>
      </c>
      <c r="N13" s="195">
        <v>75.099999999999994</v>
      </c>
    </row>
    <row r="14" spans="1:15" ht="75" customHeight="1" x14ac:dyDescent="0.25">
      <c r="A14" s="267" t="s">
        <v>46</v>
      </c>
      <c r="B14" s="267" t="s">
        <v>47</v>
      </c>
      <c r="C14" s="265" t="s">
        <v>189</v>
      </c>
      <c r="D14" s="259"/>
      <c r="E14" s="269" t="s">
        <v>13</v>
      </c>
      <c r="F14" s="270"/>
      <c r="G14" s="259" t="s">
        <v>14</v>
      </c>
      <c r="H14" s="259"/>
      <c r="I14" s="265" t="s">
        <v>15</v>
      </c>
      <c r="J14" s="266"/>
      <c r="K14" s="259" t="s">
        <v>183</v>
      </c>
      <c r="L14" s="259"/>
      <c r="M14" s="265" t="s">
        <v>48</v>
      </c>
      <c r="N14" s="266"/>
    </row>
    <row r="15" spans="1:15" ht="25.5" customHeight="1" x14ac:dyDescent="0.25">
      <c r="A15" s="268"/>
      <c r="B15" s="268"/>
      <c r="C15" s="41" t="s">
        <v>3</v>
      </c>
      <c r="D15" s="42" t="s">
        <v>17</v>
      </c>
      <c r="E15" s="121" t="s">
        <v>3</v>
      </c>
      <c r="F15" s="124" t="s">
        <v>17</v>
      </c>
      <c r="G15" s="42" t="s">
        <v>3</v>
      </c>
      <c r="H15" s="42" t="s">
        <v>17</v>
      </c>
      <c r="I15" s="41" t="s">
        <v>3</v>
      </c>
      <c r="J15" s="43" t="s">
        <v>17</v>
      </c>
      <c r="K15" s="42" t="s">
        <v>3</v>
      </c>
      <c r="L15" s="42" t="s">
        <v>17</v>
      </c>
      <c r="M15" s="41" t="s">
        <v>3</v>
      </c>
      <c r="N15" s="43" t="s">
        <v>17</v>
      </c>
    </row>
    <row r="16" spans="1:15" ht="45" x14ac:dyDescent="0.25">
      <c r="A16" s="85" t="s">
        <v>65</v>
      </c>
      <c r="B16" s="86" t="s">
        <v>64</v>
      </c>
      <c r="C16" s="87">
        <v>23</v>
      </c>
      <c r="D16" s="108">
        <v>7417</v>
      </c>
      <c r="E16" s="116">
        <v>100</v>
      </c>
      <c r="F16" s="119">
        <v>93.9</v>
      </c>
      <c r="G16" s="88">
        <v>86.96</v>
      </c>
      <c r="H16" s="110">
        <v>90.1</v>
      </c>
      <c r="I16" s="116">
        <v>82.61</v>
      </c>
      <c r="J16" s="119">
        <v>84.800000000000011</v>
      </c>
      <c r="K16" s="88">
        <v>69.569999999999993</v>
      </c>
      <c r="L16" s="110">
        <v>76.599999999999994</v>
      </c>
      <c r="M16" s="116">
        <v>73.91</v>
      </c>
      <c r="N16" s="114">
        <v>75.099999999999994</v>
      </c>
    </row>
    <row r="17" spans="1:15" ht="60" x14ac:dyDescent="0.25">
      <c r="A17" s="85" t="s">
        <v>66</v>
      </c>
      <c r="B17" s="86" t="s">
        <v>67</v>
      </c>
      <c r="C17" s="87">
        <v>139</v>
      </c>
      <c r="D17" s="108">
        <v>8616</v>
      </c>
      <c r="E17" s="116">
        <v>97.1</v>
      </c>
      <c r="F17" s="119">
        <v>96.4</v>
      </c>
      <c r="G17" s="88">
        <v>88.9</v>
      </c>
      <c r="H17" s="110">
        <f>32.7+54.9</f>
        <v>87.6</v>
      </c>
      <c r="I17" s="116">
        <v>91.1</v>
      </c>
      <c r="J17" s="119">
        <f>24.9+65.3</f>
        <v>90.199999999999989</v>
      </c>
      <c r="K17" s="88">
        <v>91.1</v>
      </c>
      <c r="L17" s="110">
        <f>34.4+49</f>
        <v>83.4</v>
      </c>
      <c r="M17" s="116">
        <v>60.7</v>
      </c>
      <c r="N17" s="114">
        <v>59.5</v>
      </c>
    </row>
    <row r="18" spans="1:15" ht="60" x14ac:dyDescent="0.25">
      <c r="A18" s="85" t="s">
        <v>68</v>
      </c>
      <c r="B18" s="86" t="s">
        <v>58</v>
      </c>
      <c r="C18" s="87">
        <v>15</v>
      </c>
      <c r="D18" s="108">
        <v>4023</v>
      </c>
      <c r="E18" s="116">
        <v>100</v>
      </c>
      <c r="F18" s="119">
        <v>94.8</v>
      </c>
      <c r="G18" s="88">
        <v>86.7</v>
      </c>
      <c r="H18" s="110">
        <v>83.4</v>
      </c>
      <c r="I18" s="116">
        <v>96.43</v>
      </c>
      <c r="J18" s="119">
        <v>85.699999999999989</v>
      </c>
      <c r="K18" s="88">
        <v>86.67</v>
      </c>
      <c r="L18" s="110">
        <v>77.199999999999989</v>
      </c>
      <c r="M18" s="116">
        <v>66.67</v>
      </c>
      <c r="N18" s="114">
        <v>65.2</v>
      </c>
      <c r="O18" s="45"/>
    </row>
    <row r="19" spans="1:15" x14ac:dyDescent="0.25">
      <c r="A19" s="85" t="s">
        <v>69</v>
      </c>
      <c r="B19" s="86" t="s">
        <v>70</v>
      </c>
      <c r="C19" s="87">
        <v>18</v>
      </c>
      <c r="D19" s="108">
        <v>1580</v>
      </c>
      <c r="E19" s="116">
        <v>100</v>
      </c>
      <c r="F19" s="119">
        <v>94.9</v>
      </c>
      <c r="G19" s="88">
        <v>88.89</v>
      </c>
      <c r="H19" s="110">
        <f>51.2+41.7</f>
        <v>92.9</v>
      </c>
      <c r="I19" s="116">
        <v>100</v>
      </c>
      <c r="J19" s="119">
        <f>25.9+64</f>
        <v>89.9</v>
      </c>
      <c r="K19" s="88">
        <v>94.44</v>
      </c>
      <c r="L19" s="110">
        <f>33+42.8</f>
        <v>75.8</v>
      </c>
      <c r="M19" s="116">
        <v>88.89</v>
      </c>
      <c r="N19" s="114">
        <v>80.400000000000006</v>
      </c>
    </row>
    <row r="20" spans="1:15" ht="120" x14ac:dyDescent="0.25">
      <c r="A20" s="85" t="s">
        <v>71</v>
      </c>
      <c r="B20" s="86" t="s">
        <v>58</v>
      </c>
      <c r="C20" s="93">
        <v>8</v>
      </c>
      <c r="D20" s="108">
        <v>4023</v>
      </c>
      <c r="E20" s="116">
        <v>100</v>
      </c>
      <c r="F20" s="119">
        <v>94.8</v>
      </c>
      <c r="G20" s="137">
        <v>100</v>
      </c>
      <c r="H20" s="110">
        <v>83.4</v>
      </c>
      <c r="I20" s="139">
        <v>100</v>
      </c>
      <c r="J20" s="119">
        <v>85.699999999999989</v>
      </c>
      <c r="K20" s="88">
        <v>87.5</v>
      </c>
      <c r="L20" s="119">
        <v>77.199999999999989</v>
      </c>
      <c r="M20" s="116">
        <v>100</v>
      </c>
      <c r="N20" s="114">
        <v>65.2</v>
      </c>
    </row>
    <row r="21" spans="1:15" ht="60" x14ac:dyDescent="0.25">
      <c r="A21" s="85" t="s">
        <v>72</v>
      </c>
      <c r="B21" s="86" t="s">
        <v>62</v>
      </c>
      <c r="C21" s="87">
        <v>13</v>
      </c>
      <c r="D21" s="108">
        <v>10541</v>
      </c>
      <c r="E21" s="116">
        <v>100</v>
      </c>
      <c r="F21" s="119">
        <v>94.4</v>
      </c>
      <c r="G21" s="88">
        <v>76.92</v>
      </c>
      <c r="H21" s="110">
        <v>91.4</v>
      </c>
      <c r="I21" s="116">
        <v>92.31</v>
      </c>
      <c r="J21" s="119">
        <v>89.4</v>
      </c>
      <c r="K21" s="88">
        <v>76.92</v>
      </c>
      <c r="L21" s="110">
        <v>75.199999999999989</v>
      </c>
      <c r="M21" s="116">
        <v>38.46</v>
      </c>
      <c r="N21" s="114">
        <v>71.099999999999994</v>
      </c>
    </row>
    <row r="22" spans="1:15" ht="30" x14ac:dyDescent="0.25">
      <c r="A22" s="85" t="s">
        <v>73</v>
      </c>
      <c r="B22" s="86" t="s">
        <v>74</v>
      </c>
      <c r="C22" s="87">
        <v>18</v>
      </c>
      <c r="D22" s="108">
        <v>1373</v>
      </c>
      <c r="E22" s="116">
        <v>100</v>
      </c>
      <c r="F22" s="119">
        <v>95.3</v>
      </c>
      <c r="G22" s="88">
        <v>94.44</v>
      </c>
      <c r="H22" s="110">
        <f>42.4+49.3</f>
        <v>91.699999999999989</v>
      </c>
      <c r="I22" s="116">
        <v>94.44</v>
      </c>
      <c r="J22" s="119">
        <f>27.1+64.8</f>
        <v>91.9</v>
      </c>
      <c r="K22" s="88">
        <v>83.33</v>
      </c>
      <c r="L22" s="110">
        <f>39+45</f>
        <v>84</v>
      </c>
      <c r="M22" s="116">
        <v>72.22</v>
      </c>
      <c r="N22" s="114">
        <v>68.599999999999994</v>
      </c>
    </row>
    <row r="23" spans="1:15" x14ac:dyDescent="0.25">
      <c r="A23" s="89" t="s">
        <v>75</v>
      </c>
      <c r="B23" s="90" t="s">
        <v>76</v>
      </c>
      <c r="C23" s="91">
        <v>61</v>
      </c>
      <c r="D23" s="109">
        <v>4420</v>
      </c>
      <c r="E23" s="118">
        <v>100</v>
      </c>
      <c r="F23" s="120">
        <v>95.2</v>
      </c>
      <c r="G23" s="92">
        <v>93.44</v>
      </c>
      <c r="H23" s="112">
        <f>42.1+50.1</f>
        <v>92.2</v>
      </c>
      <c r="I23" s="118">
        <v>98.36</v>
      </c>
      <c r="J23" s="120">
        <f>22.8+66.7</f>
        <v>89.5</v>
      </c>
      <c r="K23" s="92">
        <v>85.25</v>
      </c>
      <c r="L23" s="112">
        <f>37.9+42.7</f>
        <v>80.599999999999994</v>
      </c>
      <c r="M23" s="118">
        <v>75.41</v>
      </c>
      <c r="N23" s="115">
        <v>72</v>
      </c>
    </row>
    <row r="24" spans="1:15" ht="75" customHeight="1" x14ac:dyDescent="0.25">
      <c r="A24" s="267" t="s">
        <v>46</v>
      </c>
      <c r="B24" s="267" t="s">
        <v>47</v>
      </c>
      <c r="C24" s="265" t="s">
        <v>189</v>
      </c>
      <c r="D24" s="259"/>
      <c r="E24" s="269" t="s">
        <v>13</v>
      </c>
      <c r="F24" s="270"/>
      <c r="G24" s="259" t="s">
        <v>14</v>
      </c>
      <c r="H24" s="259"/>
      <c r="I24" s="265" t="s">
        <v>15</v>
      </c>
      <c r="J24" s="266"/>
      <c r="K24" s="259" t="s">
        <v>183</v>
      </c>
      <c r="L24" s="259"/>
      <c r="M24" s="265" t="s">
        <v>48</v>
      </c>
      <c r="N24" s="266"/>
    </row>
    <row r="25" spans="1:15" x14ac:dyDescent="0.25">
      <c r="A25" s="268"/>
      <c r="B25" s="268"/>
      <c r="C25" s="41" t="s">
        <v>3</v>
      </c>
      <c r="D25" s="42" t="s">
        <v>17</v>
      </c>
      <c r="E25" s="121" t="s">
        <v>3</v>
      </c>
      <c r="F25" s="124" t="s">
        <v>17</v>
      </c>
      <c r="G25" s="42" t="s">
        <v>3</v>
      </c>
      <c r="H25" s="42" t="s">
        <v>17</v>
      </c>
      <c r="I25" s="41" t="s">
        <v>3</v>
      </c>
      <c r="J25" s="43" t="s">
        <v>17</v>
      </c>
      <c r="K25" s="42" t="s">
        <v>3</v>
      </c>
      <c r="L25" s="42" t="s">
        <v>17</v>
      </c>
      <c r="M25" s="41" t="s">
        <v>3</v>
      </c>
      <c r="N25" s="43" t="s">
        <v>17</v>
      </c>
    </row>
    <row r="26" spans="1:15" x14ac:dyDescent="0.25">
      <c r="A26" s="85" t="s">
        <v>77</v>
      </c>
      <c r="B26" s="86" t="s">
        <v>78</v>
      </c>
      <c r="C26" s="87">
        <v>39</v>
      </c>
      <c r="D26" s="108">
        <v>2088</v>
      </c>
      <c r="E26" s="116">
        <v>97.44</v>
      </c>
      <c r="F26" s="119">
        <v>95.4</v>
      </c>
      <c r="G26" s="88">
        <v>97.37</v>
      </c>
      <c r="H26" s="110">
        <f>46.3+46.4</f>
        <v>92.699999999999989</v>
      </c>
      <c r="I26" s="116">
        <v>100</v>
      </c>
      <c r="J26" s="119">
        <f>24.5+65.2</f>
        <v>89.7</v>
      </c>
      <c r="K26" s="88">
        <v>78.95</v>
      </c>
      <c r="L26" s="110">
        <f>37.1+40.7</f>
        <v>77.800000000000011</v>
      </c>
      <c r="M26" s="116">
        <v>81.58</v>
      </c>
      <c r="N26" s="114">
        <v>79.2</v>
      </c>
    </row>
    <row r="27" spans="1:15" x14ac:dyDescent="0.25">
      <c r="A27" s="85" t="s">
        <v>147</v>
      </c>
      <c r="B27" s="86" t="s">
        <v>59</v>
      </c>
      <c r="C27" s="87">
        <v>6</v>
      </c>
      <c r="D27" s="108">
        <v>594</v>
      </c>
      <c r="E27" s="116">
        <v>100</v>
      </c>
      <c r="F27" s="119">
        <v>94.3</v>
      </c>
      <c r="G27" s="88">
        <v>100</v>
      </c>
      <c r="H27" s="110">
        <f>48.4+46.8</f>
        <v>95.199999999999989</v>
      </c>
      <c r="I27" s="116">
        <v>100</v>
      </c>
      <c r="J27" s="119">
        <f>35.4+58.2</f>
        <v>93.6</v>
      </c>
      <c r="K27" s="88">
        <v>100</v>
      </c>
      <c r="L27" s="110">
        <f>49.1+42</f>
        <v>91.1</v>
      </c>
      <c r="M27" s="116">
        <v>100</v>
      </c>
      <c r="N27" s="114">
        <v>75.7</v>
      </c>
    </row>
    <row r="28" spans="1:15" ht="30" x14ac:dyDescent="0.25">
      <c r="A28" s="85" t="s">
        <v>79</v>
      </c>
      <c r="B28" s="86" t="s">
        <v>80</v>
      </c>
      <c r="C28" s="93">
        <v>64</v>
      </c>
      <c r="D28" s="108">
        <v>2377</v>
      </c>
      <c r="E28" s="116">
        <v>95.31</v>
      </c>
      <c r="F28" s="119">
        <v>95.5</v>
      </c>
      <c r="G28" s="116">
        <v>91.8</v>
      </c>
      <c r="H28" s="119">
        <f>50.9+43.3</f>
        <v>94.199999999999989</v>
      </c>
      <c r="I28" s="116">
        <v>98.36</v>
      </c>
      <c r="J28" s="119">
        <f>30.2+63.3</f>
        <v>93.5</v>
      </c>
      <c r="K28" s="88">
        <v>95.08</v>
      </c>
      <c r="L28" s="119">
        <f>47.8+42.1</f>
        <v>89.9</v>
      </c>
      <c r="M28" s="116">
        <v>80.33</v>
      </c>
      <c r="N28" s="119">
        <v>78</v>
      </c>
      <c r="O28" s="172"/>
    </row>
    <row r="29" spans="1:15" ht="30" x14ac:dyDescent="0.25">
      <c r="A29" s="85" t="s">
        <v>81</v>
      </c>
      <c r="B29" s="86" t="s">
        <v>82</v>
      </c>
      <c r="C29" s="87">
        <v>110</v>
      </c>
      <c r="D29" s="166">
        <v>8174</v>
      </c>
      <c r="E29" s="116">
        <v>100</v>
      </c>
      <c r="F29" s="119">
        <v>95</v>
      </c>
      <c r="G29" s="88">
        <v>92.7</v>
      </c>
      <c r="H29" s="110">
        <f>36.5+52.9</f>
        <v>89.4</v>
      </c>
      <c r="I29" s="116">
        <v>96.4</v>
      </c>
      <c r="J29" s="119">
        <f>23.1+68</f>
        <v>91.1</v>
      </c>
      <c r="K29" s="116">
        <v>87.2</v>
      </c>
      <c r="L29" s="110">
        <f>45.9+44.7</f>
        <v>90.6</v>
      </c>
      <c r="M29" s="116">
        <v>70</v>
      </c>
      <c r="N29" s="114">
        <v>66.400000000000006</v>
      </c>
    </row>
    <row r="30" spans="1:15" ht="45" x14ac:dyDescent="0.25">
      <c r="A30" s="85" t="s">
        <v>83</v>
      </c>
      <c r="B30" s="86" t="s">
        <v>84</v>
      </c>
      <c r="C30" s="87">
        <v>103</v>
      </c>
      <c r="D30" s="108">
        <v>8329</v>
      </c>
      <c r="E30" s="116">
        <v>98.06</v>
      </c>
      <c r="F30" s="119">
        <v>93.9</v>
      </c>
      <c r="G30" s="88">
        <v>98.02</v>
      </c>
      <c r="H30" s="110">
        <f>52.5+41.9</f>
        <v>94.4</v>
      </c>
      <c r="I30" s="116">
        <v>98.02</v>
      </c>
      <c r="J30" s="119">
        <f>31.4+61.7</f>
        <v>93.1</v>
      </c>
      <c r="K30" s="88">
        <v>97.03</v>
      </c>
      <c r="L30" s="110">
        <f>47.7+43.2</f>
        <v>90.9</v>
      </c>
      <c r="M30" s="116">
        <v>80.33</v>
      </c>
      <c r="N30" s="114">
        <v>76.599999999999994</v>
      </c>
    </row>
    <row r="31" spans="1:15" ht="30" x14ac:dyDescent="0.25">
      <c r="A31" s="85" t="s">
        <v>85</v>
      </c>
      <c r="B31" s="86" t="s">
        <v>86</v>
      </c>
      <c r="C31" s="87">
        <v>139</v>
      </c>
      <c r="D31" s="108">
        <v>6139</v>
      </c>
      <c r="E31" s="116">
        <v>92.81</v>
      </c>
      <c r="F31" s="119">
        <v>91.2</v>
      </c>
      <c r="G31" s="88">
        <v>94.57</v>
      </c>
      <c r="H31" s="110">
        <f>38.2+52.6</f>
        <v>90.800000000000011</v>
      </c>
      <c r="I31" s="116">
        <v>89.92</v>
      </c>
      <c r="J31" s="119">
        <f>19.6+66.3</f>
        <v>85.9</v>
      </c>
      <c r="K31" s="88">
        <v>92.25</v>
      </c>
      <c r="L31" s="110">
        <f>42+45.2</f>
        <v>87.2</v>
      </c>
      <c r="M31" s="116">
        <v>72.87</v>
      </c>
      <c r="N31" s="114">
        <v>69.2</v>
      </c>
    </row>
    <row r="32" spans="1:15" x14ac:dyDescent="0.25">
      <c r="A32" s="85" t="s">
        <v>87</v>
      </c>
      <c r="B32" s="86" t="s">
        <v>88</v>
      </c>
      <c r="C32" s="87">
        <v>82</v>
      </c>
      <c r="D32" s="108">
        <v>5665</v>
      </c>
      <c r="E32" s="116">
        <v>100</v>
      </c>
      <c r="F32" s="119">
        <v>92.5</v>
      </c>
      <c r="G32" s="88">
        <v>98.78</v>
      </c>
      <c r="H32" s="110">
        <f>42.9+49</f>
        <v>91.9</v>
      </c>
      <c r="I32" s="116">
        <v>93.9</v>
      </c>
      <c r="J32" s="119">
        <f>24.7+65</f>
        <v>89.7</v>
      </c>
      <c r="K32" s="88">
        <v>91.46</v>
      </c>
      <c r="L32" s="110">
        <f>45.7+43</f>
        <v>88.7</v>
      </c>
      <c r="M32" s="116">
        <v>76.83</v>
      </c>
      <c r="N32" s="114">
        <v>67.099999999999994</v>
      </c>
    </row>
    <row r="33" spans="1:15" ht="38.25" customHeight="1" x14ac:dyDescent="0.25">
      <c r="A33" s="94" t="s">
        <v>89</v>
      </c>
      <c r="B33" s="94" t="s">
        <v>90</v>
      </c>
      <c r="C33" s="87">
        <v>73</v>
      </c>
      <c r="D33" s="108">
        <v>3096</v>
      </c>
      <c r="E33" s="116">
        <v>97.26</v>
      </c>
      <c r="F33" s="119">
        <v>96.3</v>
      </c>
      <c r="G33" s="88">
        <v>98.59</v>
      </c>
      <c r="H33" s="110">
        <f>48.7+44</f>
        <v>92.7</v>
      </c>
      <c r="I33" s="116">
        <v>95.77</v>
      </c>
      <c r="J33" s="119">
        <f>30.1+62.3</f>
        <v>92.4</v>
      </c>
      <c r="K33" s="88">
        <v>94.37</v>
      </c>
      <c r="L33" s="110">
        <f>42.8+45.1</f>
        <v>87.9</v>
      </c>
      <c r="M33" s="116">
        <v>76.06</v>
      </c>
      <c r="N33" s="114">
        <v>72.400000000000006</v>
      </c>
    </row>
    <row r="34" spans="1:15" x14ac:dyDescent="0.25">
      <c r="A34" s="85" t="s">
        <v>191</v>
      </c>
      <c r="B34" s="86" t="s">
        <v>51</v>
      </c>
      <c r="C34" s="87">
        <v>49</v>
      </c>
      <c r="D34" s="108">
        <v>2789</v>
      </c>
      <c r="E34" s="117">
        <v>98</v>
      </c>
      <c r="F34" s="119">
        <v>88.6</v>
      </c>
      <c r="G34" s="107">
        <v>97.9</v>
      </c>
      <c r="H34" s="110">
        <f>50.3+42.2</f>
        <v>92.5</v>
      </c>
      <c r="I34" s="116">
        <v>98</v>
      </c>
      <c r="J34" s="119">
        <f>34.2+56.7</f>
        <v>90.9</v>
      </c>
      <c r="K34" s="88">
        <v>95.8</v>
      </c>
      <c r="L34" s="110">
        <f>47.8+37.8</f>
        <v>85.6</v>
      </c>
      <c r="M34" s="116">
        <v>91.7</v>
      </c>
      <c r="N34" s="114">
        <v>72.8</v>
      </c>
      <c r="O34" s="138"/>
    </row>
    <row r="35" spans="1:15" ht="30" x14ac:dyDescent="0.25">
      <c r="A35" s="85" t="s">
        <v>91</v>
      </c>
      <c r="B35" s="86" t="s">
        <v>92</v>
      </c>
      <c r="C35" s="87">
        <v>94</v>
      </c>
      <c r="D35" s="108">
        <v>5464</v>
      </c>
      <c r="E35" s="116">
        <v>96.8</v>
      </c>
      <c r="F35" s="119">
        <v>93.9</v>
      </c>
      <c r="G35" s="88">
        <v>96.7</v>
      </c>
      <c r="H35" s="110">
        <f>48.2+43.8</f>
        <v>92</v>
      </c>
      <c r="I35" s="116">
        <v>93.4</v>
      </c>
      <c r="J35" s="119">
        <f>29.5+60.4</f>
        <v>89.9</v>
      </c>
      <c r="K35" s="88">
        <v>90.1</v>
      </c>
      <c r="L35" s="110">
        <f>37.5+45</f>
        <v>82.5</v>
      </c>
      <c r="M35" s="116">
        <v>81.3</v>
      </c>
      <c r="N35" s="114">
        <v>75.599999999999994</v>
      </c>
    </row>
    <row r="36" spans="1:15" ht="150" x14ac:dyDescent="0.25">
      <c r="A36" s="89" t="s">
        <v>93</v>
      </c>
      <c r="B36" s="90" t="s">
        <v>94</v>
      </c>
      <c r="C36" s="95">
        <v>11</v>
      </c>
      <c r="D36" s="109">
        <v>553</v>
      </c>
      <c r="E36" s="122">
        <v>100</v>
      </c>
      <c r="F36" s="120">
        <v>97.1</v>
      </c>
      <c r="G36" s="92">
        <v>81.819999999999993</v>
      </c>
      <c r="H36" s="112">
        <f>37.6+50.8</f>
        <v>88.4</v>
      </c>
      <c r="I36" s="118">
        <v>90.91</v>
      </c>
      <c r="J36" s="120">
        <f>26.8+64.1</f>
        <v>90.899999999999991</v>
      </c>
      <c r="K36" s="92">
        <v>81.819999999999993</v>
      </c>
      <c r="L36" s="112">
        <f>45.1+39.5</f>
        <v>84.6</v>
      </c>
      <c r="M36" s="118">
        <v>63.64</v>
      </c>
      <c r="N36" s="115">
        <v>69.3</v>
      </c>
    </row>
    <row r="37" spans="1:15" ht="105.75" customHeight="1" x14ac:dyDescent="0.25">
      <c r="A37" s="267" t="s">
        <v>46</v>
      </c>
      <c r="B37" s="267" t="s">
        <v>47</v>
      </c>
      <c r="C37" s="265" t="s">
        <v>189</v>
      </c>
      <c r="D37" s="259"/>
      <c r="E37" s="269" t="s">
        <v>13</v>
      </c>
      <c r="F37" s="270"/>
      <c r="G37" s="259" t="s">
        <v>14</v>
      </c>
      <c r="H37" s="259"/>
      <c r="I37" s="265" t="s">
        <v>15</v>
      </c>
      <c r="J37" s="266"/>
      <c r="K37" s="259" t="s">
        <v>183</v>
      </c>
      <c r="L37" s="259"/>
      <c r="M37" s="265" t="s">
        <v>48</v>
      </c>
      <c r="N37" s="266"/>
    </row>
    <row r="38" spans="1:15" x14ac:dyDescent="0.25">
      <c r="A38" s="268"/>
      <c r="B38" s="268"/>
      <c r="C38" s="41" t="s">
        <v>3</v>
      </c>
      <c r="D38" s="42" t="s">
        <v>17</v>
      </c>
      <c r="E38" s="121" t="s">
        <v>3</v>
      </c>
      <c r="F38" s="124" t="s">
        <v>17</v>
      </c>
      <c r="G38" s="42" t="s">
        <v>3</v>
      </c>
      <c r="H38" s="42" t="s">
        <v>17</v>
      </c>
      <c r="I38" s="41" t="s">
        <v>3</v>
      </c>
      <c r="J38" s="43" t="s">
        <v>17</v>
      </c>
      <c r="K38" s="42" t="s">
        <v>3</v>
      </c>
      <c r="L38" s="42" t="s">
        <v>17</v>
      </c>
      <c r="M38" s="41" t="s">
        <v>3</v>
      </c>
      <c r="N38" s="43" t="s">
        <v>17</v>
      </c>
    </row>
    <row r="39" spans="1:15" ht="180" x14ac:dyDescent="0.25">
      <c r="A39" s="85" t="s">
        <v>176</v>
      </c>
      <c r="B39" s="86" t="s">
        <v>53</v>
      </c>
      <c r="C39" s="87">
        <v>8</v>
      </c>
      <c r="D39" s="108">
        <v>2520</v>
      </c>
      <c r="E39" s="116">
        <v>100</v>
      </c>
      <c r="F39" s="119">
        <v>94.2</v>
      </c>
      <c r="G39" s="88">
        <v>75</v>
      </c>
      <c r="H39" s="110">
        <v>88.5</v>
      </c>
      <c r="I39" s="116">
        <v>100</v>
      </c>
      <c r="J39" s="119">
        <v>89.6</v>
      </c>
      <c r="K39" s="88">
        <v>87.5</v>
      </c>
      <c r="L39" s="110">
        <v>85.5</v>
      </c>
      <c r="M39" s="116">
        <v>37.5</v>
      </c>
      <c r="N39" s="114">
        <v>69.3</v>
      </c>
    </row>
    <row r="40" spans="1:15" ht="120" x14ac:dyDescent="0.25">
      <c r="A40" s="205" t="s">
        <v>95</v>
      </c>
      <c r="B40" s="206" t="s">
        <v>53</v>
      </c>
      <c r="C40" s="217">
        <v>11</v>
      </c>
      <c r="D40" s="209">
        <v>2520</v>
      </c>
      <c r="E40" s="216">
        <v>100</v>
      </c>
      <c r="F40" s="213">
        <v>94.2</v>
      </c>
      <c r="G40" s="216">
        <v>100</v>
      </c>
      <c r="H40" s="213">
        <v>88.5</v>
      </c>
      <c r="I40" s="216">
        <v>100</v>
      </c>
      <c r="J40" s="213">
        <v>89.6</v>
      </c>
      <c r="K40" s="208">
        <v>90.91</v>
      </c>
      <c r="L40" s="210">
        <v>85.5</v>
      </c>
      <c r="M40" s="216">
        <v>81.819999999999993</v>
      </c>
      <c r="N40" s="211">
        <v>69.3</v>
      </c>
    </row>
    <row r="41" spans="1:15" ht="120" x14ac:dyDescent="0.25">
      <c r="A41" s="89" t="s">
        <v>208</v>
      </c>
      <c r="B41" s="90" t="s">
        <v>53</v>
      </c>
      <c r="C41" s="91">
        <v>17</v>
      </c>
      <c r="D41" s="167">
        <v>2520</v>
      </c>
      <c r="E41" s="118">
        <v>100</v>
      </c>
      <c r="F41" s="120">
        <v>94.2</v>
      </c>
      <c r="G41" s="92">
        <v>58.82</v>
      </c>
      <c r="H41" s="112">
        <v>88.5</v>
      </c>
      <c r="I41" s="118">
        <v>64.709999999999994</v>
      </c>
      <c r="J41" s="120">
        <v>89.6</v>
      </c>
      <c r="K41" s="118">
        <v>52.94</v>
      </c>
      <c r="L41" s="120">
        <v>85.5</v>
      </c>
      <c r="M41" s="118">
        <v>23.53</v>
      </c>
      <c r="N41" s="115">
        <v>69.3</v>
      </c>
    </row>
    <row r="42" spans="1:15" ht="76.5" customHeight="1" x14ac:dyDescent="0.25">
      <c r="A42" s="267" t="s">
        <v>46</v>
      </c>
      <c r="B42" s="267" t="s">
        <v>47</v>
      </c>
      <c r="C42" s="265" t="s">
        <v>189</v>
      </c>
      <c r="D42" s="259"/>
      <c r="E42" s="269" t="s">
        <v>13</v>
      </c>
      <c r="F42" s="270"/>
      <c r="G42" s="259" t="s">
        <v>14</v>
      </c>
      <c r="H42" s="259"/>
      <c r="I42" s="265" t="s">
        <v>15</v>
      </c>
      <c r="J42" s="266"/>
      <c r="K42" s="259" t="s">
        <v>16</v>
      </c>
      <c r="L42" s="259"/>
      <c r="M42" s="265" t="s">
        <v>48</v>
      </c>
      <c r="N42" s="266"/>
    </row>
    <row r="43" spans="1:15" x14ac:dyDescent="0.25">
      <c r="A43" s="268"/>
      <c r="B43" s="268"/>
      <c r="C43" s="41" t="s">
        <v>3</v>
      </c>
      <c r="D43" s="42" t="s">
        <v>17</v>
      </c>
      <c r="E43" s="121" t="s">
        <v>3</v>
      </c>
      <c r="F43" s="124" t="s">
        <v>17</v>
      </c>
      <c r="G43" s="42" t="s">
        <v>3</v>
      </c>
      <c r="H43" s="42" t="s">
        <v>17</v>
      </c>
      <c r="I43" s="41" t="s">
        <v>3</v>
      </c>
      <c r="J43" s="43" t="s">
        <v>17</v>
      </c>
      <c r="K43" s="42" t="s">
        <v>3</v>
      </c>
      <c r="L43" s="42" t="s">
        <v>17</v>
      </c>
      <c r="M43" s="41" t="s">
        <v>3</v>
      </c>
      <c r="N43" s="43" t="s">
        <v>17</v>
      </c>
    </row>
    <row r="44" spans="1:15" ht="45" x14ac:dyDescent="0.25">
      <c r="A44" s="96" t="s">
        <v>96</v>
      </c>
      <c r="B44" s="97" t="s">
        <v>97</v>
      </c>
      <c r="C44" s="98">
        <v>19</v>
      </c>
      <c r="D44" s="108">
        <v>353</v>
      </c>
      <c r="E44" s="123">
        <v>84.21</v>
      </c>
      <c r="F44" s="119">
        <v>89.2</v>
      </c>
      <c r="G44" s="99">
        <v>93.75</v>
      </c>
      <c r="H44" s="110">
        <f>52.4+38.7</f>
        <v>91.1</v>
      </c>
      <c r="I44" s="123">
        <v>100</v>
      </c>
      <c r="J44" s="119">
        <f>45.4+46.3</f>
        <v>91.699999999999989</v>
      </c>
      <c r="K44" s="99">
        <v>93.75</v>
      </c>
      <c r="L44" s="110">
        <f>62.5+28.6</f>
        <v>91.1</v>
      </c>
      <c r="M44" s="123">
        <v>93.75</v>
      </c>
      <c r="N44" s="127">
        <v>75.2</v>
      </c>
    </row>
    <row r="45" spans="1:15" ht="30.75" customHeight="1" x14ac:dyDescent="0.25">
      <c r="A45" s="85" t="s">
        <v>149</v>
      </c>
      <c r="B45" s="86" t="s">
        <v>124</v>
      </c>
      <c r="C45" s="93">
        <v>8</v>
      </c>
      <c r="D45" s="108">
        <v>1033</v>
      </c>
      <c r="E45" s="116">
        <v>100</v>
      </c>
      <c r="F45" s="119">
        <v>95.4</v>
      </c>
      <c r="G45" s="88">
        <v>100</v>
      </c>
      <c r="H45" s="110">
        <f>58.3+35.5</f>
        <v>93.8</v>
      </c>
      <c r="I45" s="116">
        <v>100</v>
      </c>
      <c r="J45" s="119">
        <f>42.1+51.5</f>
        <v>93.6</v>
      </c>
      <c r="K45" s="88">
        <v>100</v>
      </c>
      <c r="L45" s="110">
        <f>51.6+37.1</f>
        <v>88.7</v>
      </c>
      <c r="M45" s="116">
        <v>100</v>
      </c>
      <c r="N45" s="114">
        <v>84.5</v>
      </c>
    </row>
    <row r="46" spans="1:15" x14ac:dyDescent="0.25">
      <c r="A46" s="85" t="s">
        <v>98</v>
      </c>
      <c r="B46" s="86" t="s">
        <v>99</v>
      </c>
      <c r="C46" s="87">
        <v>28</v>
      </c>
      <c r="D46" s="108">
        <v>705</v>
      </c>
      <c r="E46" s="116">
        <v>100</v>
      </c>
      <c r="F46" s="119">
        <v>93.2</v>
      </c>
      <c r="G46" s="88">
        <v>89.29</v>
      </c>
      <c r="H46" s="110">
        <f>48.7+41.7</f>
        <v>90.4</v>
      </c>
      <c r="I46" s="116">
        <v>100</v>
      </c>
      <c r="J46" s="119">
        <f>48.7+45.2</f>
        <v>93.9</v>
      </c>
      <c r="K46" s="88">
        <v>100</v>
      </c>
      <c r="L46" s="110">
        <f>59.4+33.2</f>
        <v>92.6</v>
      </c>
      <c r="M46" s="116">
        <v>92.86</v>
      </c>
      <c r="N46" s="114">
        <v>77.3</v>
      </c>
    </row>
    <row r="47" spans="1:15" x14ac:dyDescent="0.25">
      <c r="A47" s="85" t="s">
        <v>148</v>
      </c>
      <c r="B47" s="86" t="s">
        <v>100</v>
      </c>
      <c r="C47" s="87">
        <v>32</v>
      </c>
      <c r="D47" s="108">
        <v>3312</v>
      </c>
      <c r="E47" s="116">
        <v>93.75</v>
      </c>
      <c r="F47" s="119">
        <v>94.8</v>
      </c>
      <c r="G47" s="88">
        <v>100</v>
      </c>
      <c r="H47" s="110">
        <f>50.8+40.8</f>
        <v>91.6</v>
      </c>
      <c r="I47" s="116">
        <v>100</v>
      </c>
      <c r="J47" s="119">
        <f>40.4+53.5</f>
        <v>93.9</v>
      </c>
      <c r="K47" s="88">
        <v>100</v>
      </c>
      <c r="L47" s="110">
        <f>51.1+36.2</f>
        <v>87.300000000000011</v>
      </c>
      <c r="M47" s="116">
        <v>76.67</v>
      </c>
      <c r="N47" s="114">
        <v>77.8</v>
      </c>
    </row>
    <row r="48" spans="1:15" x14ac:dyDescent="0.25">
      <c r="A48" s="85" t="s">
        <v>101</v>
      </c>
      <c r="B48" s="86" t="s">
        <v>100</v>
      </c>
      <c r="C48" s="87">
        <v>36</v>
      </c>
      <c r="D48" s="108">
        <v>3312</v>
      </c>
      <c r="E48" s="116">
        <v>94.4</v>
      </c>
      <c r="F48" s="119">
        <v>94.8</v>
      </c>
      <c r="G48" s="88">
        <v>100</v>
      </c>
      <c r="H48" s="110">
        <v>91.6</v>
      </c>
      <c r="I48" s="116">
        <v>97.06</v>
      </c>
      <c r="J48" s="119">
        <v>93.9</v>
      </c>
      <c r="K48" s="88">
        <v>79.41</v>
      </c>
      <c r="L48" s="110">
        <v>87.300000000000011</v>
      </c>
      <c r="M48" s="116">
        <v>82.35</v>
      </c>
      <c r="N48" s="114">
        <v>77.8</v>
      </c>
    </row>
    <row r="49" spans="1:14" ht="30" x14ac:dyDescent="0.25">
      <c r="A49" s="85" t="s">
        <v>181</v>
      </c>
      <c r="B49" s="86" t="s">
        <v>126</v>
      </c>
      <c r="C49" s="87">
        <v>17</v>
      </c>
      <c r="D49" s="108">
        <v>1734</v>
      </c>
      <c r="E49" s="116">
        <v>94.12</v>
      </c>
      <c r="F49" s="119">
        <v>97</v>
      </c>
      <c r="G49" s="88">
        <v>100</v>
      </c>
      <c r="H49" s="110">
        <f>43.5+46.7</f>
        <v>90.2</v>
      </c>
      <c r="I49" s="116">
        <v>93.75</v>
      </c>
      <c r="J49" s="119">
        <f>30.6+60.3</f>
        <v>90.9</v>
      </c>
      <c r="K49" s="88">
        <v>93.75</v>
      </c>
      <c r="L49" s="110">
        <f>40.4+39.9</f>
        <v>80.3</v>
      </c>
      <c r="M49" s="116">
        <v>93.75</v>
      </c>
      <c r="N49" s="114">
        <v>73.900000000000006</v>
      </c>
    </row>
    <row r="50" spans="1:14" x14ac:dyDescent="0.25">
      <c r="A50" s="85" t="s">
        <v>102</v>
      </c>
      <c r="B50" s="86" t="s">
        <v>103</v>
      </c>
      <c r="C50" s="87">
        <v>5</v>
      </c>
      <c r="D50" s="126">
        <v>1249</v>
      </c>
      <c r="E50" s="76">
        <v>100</v>
      </c>
      <c r="F50" s="119">
        <v>96.2</v>
      </c>
      <c r="G50" s="44">
        <v>100</v>
      </c>
      <c r="H50" s="110">
        <f>52.7+40.3</f>
        <v>93</v>
      </c>
      <c r="I50" s="76">
        <v>100</v>
      </c>
      <c r="J50" s="119">
        <f>38.3+56</f>
        <v>94.3</v>
      </c>
      <c r="K50" s="88">
        <v>100</v>
      </c>
      <c r="L50" s="110">
        <f>48.8+37.4</f>
        <v>86.199999999999989</v>
      </c>
      <c r="M50" s="76">
        <v>100</v>
      </c>
      <c r="N50" s="114">
        <v>82.4</v>
      </c>
    </row>
    <row r="51" spans="1:14" ht="90" x14ac:dyDescent="0.25">
      <c r="A51" s="85" t="s">
        <v>104</v>
      </c>
      <c r="B51" s="86" t="s">
        <v>105</v>
      </c>
      <c r="C51" s="87">
        <v>29</v>
      </c>
      <c r="D51" s="108">
        <v>2070</v>
      </c>
      <c r="E51" s="116">
        <v>86.21</v>
      </c>
      <c r="F51" s="119">
        <v>94.4</v>
      </c>
      <c r="G51" s="88">
        <v>88</v>
      </c>
      <c r="H51" s="110">
        <f>49.7+42.4</f>
        <v>92.1</v>
      </c>
      <c r="I51" s="116">
        <v>96</v>
      </c>
      <c r="J51" s="119">
        <f>30.5+60.4</f>
        <v>90.9</v>
      </c>
      <c r="K51" s="88">
        <v>80</v>
      </c>
      <c r="L51" s="110">
        <f>44.6+39.1</f>
        <v>83.7</v>
      </c>
      <c r="M51" s="116">
        <v>76</v>
      </c>
      <c r="N51" s="114">
        <v>79.2</v>
      </c>
    </row>
    <row r="52" spans="1:14" ht="45" x14ac:dyDescent="0.25">
      <c r="A52" s="85" t="s">
        <v>106</v>
      </c>
      <c r="B52" s="86" t="s">
        <v>107</v>
      </c>
      <c r="C52" s="87">
        <v>66</v>
      </c>
      <c r="D52" s="108">
        <v>11842</v>
      </c>
      <c r="E52" s="116">
        <v>90.91</v>
      </c>
      <c r="F52" s="119">
        <v>93.2</v>
      </c>
      <c r="G52" s="88">
        <v>91.67</v>
      </c>
      <c r="H52" s="110">
        <f>48.2+44.3</f>
        <v>92.5</v>
      </c>
      <c r="I52" s="116">
        <v>95</v>
      </c>
      <c r="J52" s="119">
        <f>30.2+59.5</f>
        <v>89.7</v>
      </c>
      <c r="K52" s="88">
        <v>86.67</v>
      </c>
      <c r="L52" s="110">
        <f>51.1+40.2</f>
        <v>91.300000000000011</v>
      </c>
      <c r="M52" s="116">
        <v>70</v>
      </c>
      <c r="N52" s="114">
        <v>76.400000000000006</v>
      </c>
    </row>
    <row r="53" spans="1:14" ht="45" x14ac:dyDescent="0.25">
      <c r="A53" s="205" t="s">
        <v>209</v>
      </c>
      <c r="B53" s="86" t="s">
        <v>108</v>
      </c>
      <c r="C53" s="87">
        <v>290</v>
      </c>
      <c r="D53" s="108">
        <v>2921</v>
      </c>
      <c r="E53" s="116">
        <v>93.1</v>
      </c>
      <c r="F53" s="119">
        <v>90.9</v>
      </c>
      <c r="G53" s="88">
        <v>85.1</v>
      </c>
      <c r="H53" s="110">
        <f>46.2+45.3</f>
        <v>91.5</v>
      </c>
      <c r="I53" s="116">
        <v>88.9</v>
      </c>
      <c r="J53" s="119">
        <f>29.5+60.4</f>
        <v>89.9</v>
      </c>
      <c r="K53" s="88">
        <v>96.3</v>
      </c>
      <c r="L53" s="110">
        <f>52.6+38.2</f>
        <v>90.800000000000011</v>
      </c>
      <c r="M53" s="116">
        <v>70.400000000000006</v>
      </c>
      <c r="N53" s="114">
        <v>73</v>
      </c>
    </row>
    <row r="54" spans="1:14" s="204" customFormat="1" x14ac:dyDescent="0.25">
      <c r="A54" s="205" t="s">
        <v>211</v>
      </c>
      <c r="B54" s="206" t="s">
        <v>108</v>
      </c>
      <c r="C54" s="207">
        <v>1</v>
      </c>
      <c r="D54" s="209">
        <v>2921</v>
      </c>
      <c r="E54" s="212">
        <v>100</v>
      </c>
      <c r="F54" s="213">
        <v>90.9</v>
      </c>
      <c r="G54" s="208" t="s">
        <v>212</v>
      </c>
      <c r="H54" s="210">
        <v>91.5</v>
      </c>
      <c r="I54" s="212" t="s">
        <v>212</v>
      </c>
      <c r="J54" s="213">
        <f>29.5+60.4</f>
        <v>89.9</v>
      </c>
      <c r="K54" s="208" t="s">
        <v>212</v>
      </c>
      <c r="L54" s="210">
        <f>52.6+38.2</f>
        <v>90.800000000000011</v>
      </c>
      <c r="M54" s="212" t="s">
        <v>212</v>
      </c>
      <c r="N54" s="211">
        <v>73</v>
      </c>
    </row>
    <row r="55" spans="1:14" ht="45" x14ac:dyDescent="0.25">
      <c r="A55" s="85" t="s">
        <v>109</v>
      </c>
      <c r="B55" s="86" t="s">
        <v>110</v>
      </c>
      <c r="C55" s="87">
        <v>14</v>
      </c>
      <c r="D55" s="108">
        <v>479</v>
      </c>
      <c r="E55" s="116">
        <v>100</v>
      </c>
      <c r="F55" s="119">
        <v>95</v>
      </c>
      <c r="G55" s="88">
        <v>100</v>
      </c>
      <c r="H55" s="110">
        <f>44+47</f>
        <v>91</v>
      </c>
      <c r="I55" s="116">
        <v>100</v>
      </c>
      <c r="J55" s="119">
        <f>44+52.7</f>
        <v>96.7</v>
      </c>
      <c r="K55" s="88">
        <v>100</v>
      </c>
      <c r="L55" s="110">
        <f>56.3+34.9</f>
        <v>91.199999999999989</v>
      </c>
      <c r="M55" s="116">
        <v>85.71</v>
      </c>
      <c r="N55" s="114">
        <v>76.5</v>
      </c>
    </row>
    <row r="56" spans="1:14" ht="90" x14ac:dyDescent="0.25">
      <c r="A56" s="89" t="s">
        <v>111</v>
      </c>
      <c r="B56" s="90" t="s">
        <v>112</v>
      </c>
      <c r="C56" s="91">
        <v>13</v>
      </c>
      <c r="D56" s="109">
        <v>506</v>
      </c>
      <c r="E56" s="118">
        <v>92.31</v>
      </c>
      <c r="F56" s="120">
        <v>95.1</v>
      </c>
      <c r="G56" s="92">
        <v>91.67</v>
      </c>
      <c r="H56" s="112">
        <f>60.9+34.3</f>
        <v>95.199999999999989</v>
      </c>
      <c r="I56" s="118">
        <v>91.67</v>
      </c>
      <c r="J56" s="120">
        <f>49.1+47.6</f>
        <v>96.7</v>
      </c>
      <c r="K56" s="92">
        <v>91.67</v>
      </c>
      <c r="L56" s="120">
        <f>58.6+29.1</f>
        <v>87.7</v>
      </c>
      <c r="M56" s="118">
        <v>75</v>
      </c>
      <c r="N56" s="115">
        <v>79.8</v>
      </c>
    </row>
    <row r="57" spans="1:14" ht="76.5" customHeight="1" x14ac:dyDescent="0.25">
      <c r="A57" s="267" t="s">
        <v>46</v>
      </c>
      <c r="B57" s="267" t="s">
        <v>47</v>
      </c>
      <c r="C57" s="265" t="s">
        <v>189</v>
      </c>
      <c r="D57" s="259"/>
      <c r="E57" s="269" t="s">
        <v>13</v>
      </c>
      <c r="F57" s="270"/>
      <c r="G57" s="259" t="s">
        <v>14</v>
      </c>
      <c r="H57" s="259"/>
      <c r="I57" s="265" t="s">
        <v>15</v>
      </c>
      <c r="J57" s="266"/>
      <c r="K57" s="259" t="s">
        <v>183</v>
      </c>
      <c r="L57" s="259"/>
      <c r="M57" s="265" t="s">
        <v>48</v>
      </c>
      <c r="N57" s="266"/>
    </row>
    <row r="58" spans="1:14" x14ac:dyDescent="0.25">
      <c r="A58" s="268"/>
      <c r="B58" s="268"/>
      <c r="C58" s="41" t="s">
        <v>3</v>
      </c>
      <c r="D58" s="42" t="s">
        <v>17</v>
      </c>
      <c r="E58" s="121" t="s">
        <v>3</v>
      </c>
      <c r="F58" s="124" t="s">
        <v>17</v>
      </c>
      <c r="G58" s="42" t="s">
        <v>3</v>
      </c>
      <c r="H58" s="42" t="s">
        <v>17</v>
      </c>
      <c r="I58" s="41" t="s">
        <v>3</v>
      </c>
      <c r="J58" s="43" t="s">
        <v>17</v>
      </c>
      <c r="K58" s="42" t="s">
        <v>3</v>
      </c>
      <c r="L58" s="42" t="s">
        <v>17</v>
      </c>
      <c r="M58" s="41" t="s">
        <v>3</v>
      </c>
      <c r="N58" s="43" t="s">
        <v>17</v>
      </c>
    </row>
    <row r="59" spans="1:14" ht="30" x14ac:dyDescent="0.25">
      <c r="A59" s="178" t="s">
        <v>182</v>
      </c>
      <c r="B59" s="86" t="s">
        <v>116</v>
      </c>
      <c r="C59" s="87">
        <v>37</v>
      </c>
      <c r="D59" s="108">
        <v>3099</v>
      </c>
      <c r="E59" s="76">
        <v>100</v>
      </c>
      <c r="F59" s="119">
        <v>95.8</v>
      </c>
      <c r="G59" s="88">
        <v>94.59</v>
      </c>
      <c r="H59" s="110">
        <f>50.3+44.2</f>
        <v>94.5</v>
      </c>
      <c r="I59" s="116">
        <v>91.89</v>
      </c>
      <c r="J59" s="119">
        <f>24+64.7</f>
        <v>88.7</v>
      </c>
      <c r="K59" s="88">
        <v>89.19</v>
      </c>
      <c r="L59" s="110">
        <f>44.6+42.5</f>
        <v>87.1</v>
      </c>
      <c r="M59" s="116">
        <v>89.19</v>
      </c>
      <c r="N59" s="114">
        <v>82.4</v>
      </c>
    </row>
    <row r="60" spans="1:14" x14ac:dyDescent="0.25">
      <c r="A60" s="85" t="s">
        <v>113</v>
      </c>
      <c r="B60" s="86" t="s">
        <v>114</v>
      </c>
      <c r="C60" s="87">
        <v>55</v>
      </c>
      <c r="D60" s="108">
        <v>868</v>
      </c>
      <c r="E60" s="116">
        <v>90.91</v>
      </c>
      <c r="F60" s="119">
        <v>92.9</v>
      </c>
      <c r="G60" s="88">
        <v>92</v>
      </c>
      <c r="H60" s="119">
        <f>48.5+42.6</f>
        <v>91.1</v>
      </c>
      <c r="I60" s="116">
        <v>90</v>
      </c>
      <c r="J60" s="119">
        <f>25.8+63.2</f>
        <v>89</v>
      </c>
      <c r="K60" s="116">
        <v>90</v>
      </c>
      <c r="L60" s="110">
        <f>45.5+39.2</f>
        <v>84.7</v>
      </c>
      <c r="M60" s="116">
        <v>68</v>
      </c>
      <c r="N60" s="114">
        <v>74.3</v>
      </c>
    </row>
    <row r="61" spans="1:14" x14ac:dyDescent="0.25">
      <c r="A61" s="85" t="s">
        <v>179</v>
      </c>
      <c r="B61" s="86" t="s">
        <v>126</v>
      </c>
      <c r="C61" s="87">
        <v>11</v>
      </c>
      <c r="D61" s="108">
        <v>1734</v>
      </c>
      <c r="E61" s="116">
        <v>100</v>
      </c>
      <c r="F61" s="119">
        <v>97</v>
      </c>
      <c r="G61" s="116">
        <v>100</v>
      </c>
      <c r="H61" s="110">
        <f>43.5+46.7</f>
        <v>90.2</v>
      </c>
      <c r="I61" s="116">
        <v>90.91</v>
      </c>
      <c r="J61" s="119">
        <f>30.6+60.3</f>
        <v>90.9</v>
      </c>
      <c r="K61" s="116">
        <v>81.819999999999993</v>
      </c>
      <c r="L61" s="110">
        <f>40.4+39.9</f>
        <v>80.3</v>
      </c>
      <c r="M61" s="116">
        <v>54.55</v>
      </c>
      <c r="N61" s="114">
        <v>73.900000000000006</v>
      </c>
    </row>
    <row r="62" spans="1:14" ht="30" x14ac:dyDescent="0.25">
      <c r="A62" s="85" t="s">
        <v>168</v>
      </c>
      <c r="B62" s="86" t="s">
        <v>115</v>
      </c>
      <c r="C62" s="87">
        <v>11</v>
      </c>
      <c r="D62" s="108">
        <v>618</v>
      </c>
      <c r="E62" s="116">
        <v>100</v>
      </c>
      <c r="F62" s="114">
        <v>95.5</v>
      </c>
      <c r="G62" s="88">
        <v>90.91</v>
      </c>
      <c r="H62" s="113">
        <f>51.5+41</f>
        <v>92.5</v>
      </c>
      <c r="I62" s="116">
        <v>100</v>
      </c>
      <c r="J62" s="114">
        <f>44.7+49.5</f>
        <v>94.2</v>
      </c>
      <c r="K62" s="88">
        <v>90.91</v>
      </c>
      <c r="L62" s="113">
        <f>60.8+31.7</f>
        <v>92.5</v>
      </c>
      <c r="M62" s="116">
        <v>63.64</v>
      </c>
      <c r="N62" s="114">
        <v>79.5</v>
      </c>
    </row>
    <row r="63" spans="1:14" ht="45" x14ac:dyDescent="0.25">
      <c r="A63" s="85" t="s">
        <v>180</v>
      </c>
      <c r="B63" s="86" t="s">
        <v>107</v>
      </c>
      <c r="C63" s="87">
        <v>38</v>
      </c>
      <c r="D63" s="108">
        <v>11842</v>
      </c>
      <c r="E63" s="116">
        <v>94.74</v>
      </c>
      <c r="F63" s="114">
        <v>93.2</v>
      </c>
      <c r="G63" s="88">
        <v>91.67</v>
      </c>
      <c r="H63" s="113">
        <f>48.2+44.3</f>
        <v>92.5</v>
      </c>
      <c r="I63" s="116">
        <v>86.11</v>
      </c>
      <c r="J63" s="114">
        <f>30.2+59.5</f>
        <v>89.7</v>
      </c>
      <c r="K63" s="88">
        <v>88.89</v>
      </c>
      <c r="L63" s="113">
        <f>51.1+40.2</f>
        <v>91.300000000000011</v>
      </c>
      <c r="M63" s="116">
        <v>69.44</v>
      </c>
      <c r="N63" s="114">
        <v>76.400000000000006</v>
      </c>
    </row>
    <row r="64" spans="1:14" ht="90" x14ac:dyDescent="0.25">
      <c r="A64" s="85" t="s">
        <v>117</v>
      </c>
      <c r="B64" s="86" t="s">
        <v>118</v>
      </c>
      <c r="C64" s="93">
        <v>27</v>
      </c>
      <c r="D64" s="166">
        <v>667</v>
      </c>
      <c r="E64" s="116">
        <v>92.59</v>
      </c>
      <c r="F64" s="119">
        <v>93.6</v>
      </c>
      <c r="G64" s="116">
        <v>100</v>
      </c>
      <c r="H64" s="110">
        <f>50.8+41.3</f>
        <v>92.1</v>
      </c>
      <c r="I64" s="116">
        <v>100</v>
      </c>
      <c r="J64" s="119">
        <f>41.8+52.2</f>
        <v>94</v>
      </c>
      <c r="K64" s="88">
        <v>88.89</v>
      </c>
      <c r="L64" s="119">
        <f>55+35.7</f>
        <v>90.7</v>
      </c>
      <c r="M64" s="116">
        <v>69.44</v>
      </c>
      <c r="N64" s="114">
        <v>71.8</v>
      </c>
    </row>
    <row r="65" spans="1:14" x14ac:dyDescent="0.25">
      <c r="A65" s="85" t="s">
        <v>119</v>
      </c>
      <c r="B65" s="86" t="s">
        <v>120</v>
      </c>
      <c r="C65" s="87">
        <v>26</v>
      </c>
      <c r="D65" s="108">
        <v>564</v>
      </c>
      <c r="E65" s="116">
        <v>96.15</v>
      </c>
      <c r="F65" s="119">
        <v>92</v>
      </c>
      <c r="G65" s="88">
        <v>88</v>
      </c>
      <c r="H65" s="110">
        <f>61.1+32.8</f>
        <v>93.9</v>
      </c>
      <c r="I65" s="116">
        <v>96</v>
      </c>
      <c r="J65" s="119">
        <f>45.9+49.9</f>
        <v>95.8</v>
      </c>
      <c r="K65" s="88">
        <v>92</v>
      </c>
      <c r="L65" s="110">
        <f>57.8+31.4</f>
        <v>89.199999999999989</v>
      </c>
      <c r="M65" s="116">
        <v>80</v>
      </c>
      <c r="N65" s="114">
        <v>85.4</v>
      </c>
    </row>
    <row r="66" spans="1:14" x14ac:dyDescent="0.25">
      <c r="A66" s="85" t="s">
        <v>121</v>
      </c>
      <c r="B66" s="86" t="s">
        <v>122</v>
      </c>
      <c r="C66" s="87">
        <v>35</v>
      </c>
      <c r="D66" s="108">
        <v>2745</v>
      </c>
      <c r="E66" s="116">
        <v>100</v>
      </c>
      <c r="F66" s="119">
        <v>93.2</v>
      </c>
      <c r="G66" s="88">
        <v>97.14</v>
      </c>
      <c r="H66" s="110">
        <f>58.7+36.1</f>
        <v>94.800000000000011</v>
      </c>
      <c r="I66" s="116">
        <v>97.14</v>
      </c>
      <c r="J66" s="119">
        <f>42.8+51.8</f>
        <v>94.6</v>
      </c>
      <c r="K66" s="88">
        <v>97.14</v>
      </c>
      <c r="L66" s="110">
        <f>53+38</f>
        <v>91</v>
      </c>
      <c r="M66" s="116">
        <v>94.29</v>
      </c>
      <c r="N66" s="114">
        <v>83.8</v>
      </c>
    </row>
    <row r="67" spans="1:14" ht="30" x14ac:dyDescent="0.25">
      <c r="A67" s="85" t="s">
        <v>123</v>
      </c>
      <c r="B67" s="100" t="s">
        <v>107</v>
      </c>
      <c r="C67" s="93">
        <v>165</v>
      </c>
      <c r="D67" s="108">
        <v>11842</v>
      </c>
      <c r="E67" s="116">
        <v>95.15</v>
      </c>
      <c r="F67" s="119">
        <v>93.2</v>
      </c>
      <c r="G67" s="88">
        <v>91.72</v>
      </c>
      <c r="H67" s="110">
        <v>92.5</v>
      </c>
      <c r="I67" s="116">
        <v>87.26</v>
      </c>
      <c r="J67" s="119">
        <v>89.7</v>
      </c>
      <c r="K67" s="88">
        <v>92.99</v>
      </c>
      <c r="L67" s="110">
        <v>91.300000000000011</v>
      </c>
      <c r="M67" s="116">
        <v>73.25</v>
      </c>
      <c r="N67" s="114">
        <v>76.400000000000006</v>
      </c>
    </row>
    <row r="68" spans="1:14" ht="60" x14ac:dyDescent="0.25">
      <c r="A68" s="85" t="s">
        <v>125</v>
      </c>
      <c r="B68" s="100" t="s">
        <v>126</v>
      </c>
      <c r="C68" s="93">
        <v>22</v>
      </c>
      <c r="D68" s="108">
        <v>1734</v>
      </c>
      <c r="E68" s="116">
        <v>100</v>
      </c>
      <c r="F68" s="119">
        <v>97</v>
      </c>
      <c r="G68" s="88">
        <v>86.36</v>
      </c>
      <c r="H68" s="110">
        <v>90.2</v>
      </c>
      <c r="I68" s="116">
        <v>81.819999999999993</v>
      </c>
      <c r="J68" s="119">
        <v>90.9</v>
      </c>
      <c r="K68" s="88">
        <v>95.45</v>
      </c>
      <c r="L68" s="110">
        <v>80.3</v>
      </c>
      <c r="M68" s="116">
        <v>63.64</v>
      </c>
      <c r="N68" s="114">
        <v>73.900000000000006</v>
      </c>
    </row>
    <row r="69" spans="1:14" ht="60" x14ac:dyDescent="0.25">
      <c r="A69" s="89" t="s">
        <v>174</v>
      </c>
      <c r="B69" s="90" t="s">
        <v>169</v>
      </c>
      <c r="C69" s="91">
        <v>18</v>
      </c>
      <c r="D69" s="109">
        <v>500</v>
      </c>
      <c r="E69" s="118">
        <v>100</v>
      </c>
      <c r="F69" s="120">
        <v>86</v>
      </c>
      <c r="G69" s="92">
        <v>94.44</v>
      </c>
      <c r="H69" s="112">
        <f>42.1+46.5</f>
        <v>88.6</v>
      </c>
      <c r="I69" s="118">
        <v>94.44</v>
      </c>
      <c r="J69" s="120">
        <f>37.4+54.2</f>
        <v>91.6</v>
      </c>
      <c r="K69" s="92">
        <v>100</v>
      </c>
      <c r="L69" s="112">
        <f>57.9+34.4</f>
        <v>92.3</v>
      </c>
      <c r="M69" s="118">
        <v>66.67</v>
      </c>
      <c r="N69" s="115">
        <v>62.3</v>
      </c>
    </row>
    <row r="70" spans="1:14" ht="76.5" customHeight="1" x14ac:dyDescent="0.25">
      <c r="A70" s="267" t="s">
        <v>46</v>
      </c>
      <c r="B70" s="267" t="s">
        <v>47</v>
      </c>
      <c r="C70" s="265" t="s">
        <v>189</v>
      </c>
      <c r="D70" s="259"/>
      <c r="E70" s="269" t="s">
        <v>13</v>
      </c>
      <c r="F70" s="270"/>
      <c r="G70" s="259" t="s">
        <v>14</v>
      </c>
      <c r="H70" s="259"/>
      <c r="I70" s="265" t="s">
        <v>15</v>
      </c>
      <c r="J70" s="266"/>
      <c r="K70" s="259" t="s">
        <v>183</v>
      </c>
      <c r="L70" s="259"/>
      <c r="M70" s="265" t="s">
        <v>48</v>
      </c>
      <c r="N70" s="266"/>
    </row>
    <row r="71" spans="1:14" x14ac:dyDescent="0.25">
      <c r="A71" s="268"/>
      <c r="B71" s="268"/>
      <c r="C71" s="41" t="s">
        <v>3</v>
      </c>
      <c r="D71" s="42" t="s">
        <v>17</v>
      </c>
      <c r="E71" s="121" t="s">
        <v>3</v>
      </c>
      <c r="F71" s="124" t="s">
        <v>17</v>
      </c>
      <c r="G71" s="42" t="s">
        <v>3</v>
      </c>
      <c r="H71" s="42" t="s">
        <v>17</v>
      </c>
      <c r="I71" s="41" t="s">
        <v>3</v>
      </c>
      <c r="J71" s="43" t="s">
        <v>17</v>
      </c>
      <c r="K71" s="42" t="s">
        <v>3</v>
      </c>
      <c r="L71" s="42" t="s">
        <v>17</v>
      </c>
      <c r="M71" s="41" t="s">
        <v>3</v>
      </c>
      <c r="N71" s="43" t="s">
        <v>17</v>
      </c>
    </row>
    <row r="72" spans="1:14" ht="28.5" customHeight="1" x14ac:dyDescent="0.25">
      <c r="A72" s="85" t="s">
        <v>170</v>
      </c>
      <c r="B72" s="86" t="s">
        <v>127</v>
      </c>
      <c r="C72" s="87">
        <v>25</v>
      </c>
      <c r="D72" s="108">
        <v>1166</v>
      </c>
      <c r="E72" s="116">
        <v>96</v>
      </c>
      <c r="F72" s="119">
        <v>88.9</v>
      </c>
      <c r="G72" s="88">
        <v>95.83</v>
      </c>
      <c r="H72" s="110">
        <f>50.5+41.3</f>
        <v>91.8</v>
      </c>
      <c r="I72" s="116">
        <v>91.67</v>
      </c>
      <c r="J72" s="119">
        <f>37.7+54.8</f>
        <v>92.5</v>
      </c>
      <c r="K72" s="88">
        <v>100</v>
      </c>
      <c r="L72" s="110">
        <f>56.1+36.4</f>
        <v>92.5</v>
      </c>
      <c r="M72" s="116">
        <v>83.33</v>
      </c>
      <c r="N72" s="114">
        <v>77.8</v>
      </c>
    </row>
    <row r="73" spans="1:14" ht="45" x14ac:dyDescent="0.25">
      <c r="A73" s="85" t="s">
        <v>128</v>
      </c>
      <c r="B73" s="86" t="s">
        <v>129</v>
      </c>
      <c r="C73" s="93">
        <v>17</v>
      </c>
      <c r="D73" s="108">
        <v>953</v>
      </c>
      <c r="E73" s="116">
        <v>100</v>
      </c>
      <c r="F73" s="119">
        <v>88.6</v>
      </c>
      <c r="G73" s="88">
        <v>94.12</v>
      </c>
      <c r="H73" s="110">
        <f>36.7+46.6</f>
        <v>83.300000000000011</v>
      </c>
      <c r="I73" s="76">
        <v>88.24</v>
      </c>
      <c r="J73" s="119">
        <f>36.5+51.2</f>
        <v>87.7</v>
      </c>
      <c r="K73" s="88">
        <v>88.24</v>
      </c>
      <c r="L73" s="110">
        <f>44.8+41.8</f>
        <v>86.6</v>
      </c>
      <c r="M73" s="116">
        <v>82.35</v>
      </c>
      <c r="N73" s="114">
        <v>71.599999999999994</v>
      </c>
    </row>
    <row r="74" spans="1:14" ht="30" x14ac:dyDescent="0.25">
      <c r="A74" s="85" t="s">
        <v>130</v>
      </c>
      <c r="B74" s="86" t="s">
        <v>131</v>
      </c>
      <c r="C74" s="87">
        <v>66</v>
      </c>
      <c r="D74" s="166">
        <v>2061</v>
      </c>
      <c r="E74" s="116">
        <v>95.45</v>
      </c>
      <c r="F74" s="119">
        <v>91.6</v>
      </c>
      <c r="G74" s="116">
        <v>96.83</v>
      </c>
      <c r="H74" s="119">
        <f>45.9+43.5</f>
        <v>89.4</v>
      </c>
      <c r="I74" s="116">
        <v>96.83</v>
      </c>
      <c r="J74" s="119">
        <f>37.6+54.6</f>
        <v>92.2</v>
      </c>
      <c r="K74" s="116">
        <v>93.65</v>
      </c>
      <c r="L74" s="119">
        <f>57+35.3</f>
        <v>92.3</v>
      </c>
      <c r="M74" s="116">
        <v>80.95</v>
      </c>
      <c r="N74" s="114">
        <v>68.2</v>
      </c>
    </row>
    <row r="75" spans="1:14" ht="75" x14ac:dyDescent="0.25">
      <c r="A75" s="85" t="s">
        <v>132</v>
      </c>
      <c r="B75" s="86" t="s">
        <v>133</v>
      </c>
      <c r="C75" s="87">
        <v>38</v>
      </c>
      <c r="D75" s="108">
        <v>2296</v>
      </c>
      <c r="E75" s="116">
        <v>97.37</v>
      </c>
      <c r="F75" s="119">
        <v>92.1</v>
      </c>
      <c r="G75" s="88">
        <v>91.89</v>
      </c>
      <c r="H75" s="110">
        <f>50.4+41.8</f>
        <v>92.199999999999989</v>
      </c>
      <c r="I75" s="116">
        <v>97.3</v>
      </c>
      <c r="J75" s="119">
        <f>37.1+56.6</f>
        <v>93.7</v>
      </c>
      <c r="K75" s="88">
        <v>97.3</v>
      </c>
      <c r="L75" s="110">
        <f>50.2+40.5</f>
        <v>90.7</v>
      </c>
      <c r="M75" s="116">
        <v>83.78</v>
      </c>
      <c r="N75" s="114">
        <v>79.900000000000006</v>
      </c>
    </row>
    <row r="76" spans="1:14" ht="45" x14ac:dyDescent="0.25">
      <c r="A76" s="85" t="s">
        <v>134</v>
      </c>
      <c r="B76" s="86" t="s">
        <v>135</v>
      </c>
      <c r="C76" s="87">
        <v>5</v>
      </c>
      <c r="D76" s="108">
        <v>419</v>
      </c>
      <c r="E76" s="116">
        <v>100</v>
      </c>
      <c r="F76" s="119">
        <v>94.5</v>
      </c>
      <c r="G76" s="88">
        <v>80</v>
      </c>
      <c r="H76" s="110">
        <f>24.5+50</f>
        <v>74.5</v>
      </c>
      <c r="I76" s="116">
        <v>80</v>
      </c>
      <c r="J76" s="119">
        <f>23+58.3</f>
        <v>81.3</v>
      </c>
      <c r="K76" s="88">
        <v>100</v>
      </c>
      <c r="L76" s="110">
        <f>34.6+44.4</f>
        <v>79</v>
      </c>
      <c r="M76" s="116">
        <v>40</v>
      </c>
      <c r="N76" s="114">
        <v>70.5</v>
      </c>
    </row>
    <row r="77" spans="1:14" ht="45" x14ac:dyDescent="0.25">
      <c r="A77" s="85" t="s">
        <v>136</v>
      </c>
      <c r="B77" s="86" t="s">
        <v>137</v>
      </c>
      <c r="C77" s="87">
        <v>13</v>
      </c>
      <c r="D77" s="108">
        <v>524</v>
      </c>
      <c r="E77" s="116">
        <v>100</v>
      </c>
      <c r="F77" s="119">
        <v>95.2</v>
      </c>
      <c r="G77" s="88">
        <v>100</v>
      </c>
      <c r="H77" s="110">
        <f>45.3+44.3</f>
        <v>89.6</v>
      </c>
      <c r="I77" s="116">
        <v>100</v>
      </c>
      <c r="J77" s="119">
        <f>25.9+62.5</f>
        <v>88.4</v>
      </c>
      <c r="K77" s="88">
        <v>92.31</v>
      </c>
      <c r="L77" s="110">
        <f>51.5+34.9</f>
        <v>86.4</v>
      </c>
      <c r="M77" s="116">
        <v>84.62</v>
      </c>
      <c r="N77" s="114">
        <v>76.400000000000006</v>
      </c>
    </row>
    <row r="78" spans="1:14" x14ac:dyDescent="0.25">
      <c r="A78" s="85" t="s">
        <v>138</v>
      </c>
      <c r="B78" s="86" t="s">
        <v>139</v>
      </c>
      <c r="C78" s="87">
        <v>21</v>
      </c>
      <c r="D78" s="108">
        <v>1350</v>
      </c>
      <c r="E78" s="116">
        <v>95.24</v>
      </c>
      <c r="F78" s="119">
        <v>94.8</v>
      </c>
      <c r="G78" s="88">
        <v>95</v>
      </c>
      <c r="H78" s="110">
        <f>52.8+38.4</f>
        <v>91.199999999999989</v>
      </c>
      <c r="I78" s="116">
        <v>100</v>
      </c>
      <c r="J78" s="119">
        <f>45.3+48.4</f>
        <v>93.699999999999989</v>
      </c>
      <c r="K78" s="88">
        <v>95</v>
      </c>
      <c r="L78" s="110">
        <f>56.3+36.4</f>
        <v>92.699999999999989</v>
      </c>
      <c r="M78" s="116">
        <v>95</v>
      </c>
      <c r="N78" s="114">
        <v>74.900000000000006</v>
      </c>
    </row>
    <row r="79" spans="1:14" ht="18.75" customHeight="1" x14ac:dyDescent="0.25">
      <c r="A79" s="274" t="s">
        <v>173</v>
      </c>
      <c r="B79" s="85" t="s">
        <v>172</v>
      </c>
      <c r="C79" s="271">
        <v>37</v>
      </c>
      <c r="D79" s="108">
        <v>1377</v>
      </c>
      <c r="E79" s="272">
        <v>91.89</v>
      </c>
      <c r="F79" s="114">
        <v>92.2</v>
      </c>
      <c r="G79" s="272">
        <v>94.12</v>
      </c>
      <c r="H79" s="113">
        <f>54.1+37.1</f>
        <v>91.2</v>
      </c>
      <c r="I79" s="272">
        <v>97.06</v>
      </c>
      <c r="J79" s="114">
        <f>46.1+46.7</f>
        <v>92.800000000000011</v>
      </c>
      <c r="K79" s="272">
        <v>91.18</v>
      </c>
      <c r="L79" s="113">
        <f>63.6+30.6</f>
        <v>94.2</v>
      </c>
      <c r="M79" s="272">
        <v>76.47</v>
      </c>
      <c r="N79" s="114">
        <v>79.3</v>
      </c>
    </row>
    <row r="80" spans="1:14" ht="18.75" customHeight="1" x14ac:dyDescent="0.25">
      <c r="A80" s="274"/>
      <c r="B80" s="85" t="s">
        <v>171</v>
      </c>
      <c r="C80" s="271"/>
      <c r="D80" s="108">
        <v>1125</v>
      </c>
      <c r="E80" s="272"/>
      <c r="F80" s="114">
        <v>89.6</v>
      </c>
      <c r="G80" s="272"/>
      <c r="H80" s="113">
        <f>57.8+33.9</f>
        <v>91.699999999999989</v>
      </c>
      <c r="I80" s="272"/>
      <c r="J80" s="114">
        <f>46.4+47.1</f>
        <v>93.5</v>
      </c>
      <c r="K80" s="272"/>
      <c r="L80" s="113">
        <f>60.3+32.5</f>
        <v>92.8</v>
      </c>
      <c r="M80" s="272"/>
      <c r="N80" s="114">
        <v>81.099999999999994</v>
      </c>
    </row>
    <row r="81" spans="1:15" ht="30" x14ac:dyDescent="0.25">
      <c r="A81" s="141" t="s">
        <v>175</v>
      </c>
      <c r="B81" s="90" t="s">
        <v>140</v>
      </c>
      <c r="C81" s="91">
        <v>46</v>
      </c>
      <c r="D81" s="167">
        <v>751</v>
      </c>
      <c r="E81" s="118">
        <v>97.83</v>
      </c>
      <c r="F81" s="120">
        <v>95.2</v>
      </c>
      <c r="G81" s="92">
        <v>88.89</v>
      </c>
      <c r="H81" s="112">
        <f>39.6+45.5</f>
        <v>85.1</v>
      </c>
      <c r="I81" s="118">
        <v>95.56</v>
      </c>
      <c r="J81" s="120">
        <f>31.3+59</f>
        <v>90.3</v>
      </c>
      <c r="K81" s="92">
        <v>97.78</v>
      </c>
      <c r="L81" s="112">
        <f>53.8+38.6</f>
        <v>92.4</v>
      </c>
      <c r="M81" s="118">
        <v>77.78</v>
      </c>
      <c r="N81" s="115">
        <v>70.5</v>
      </c>
      <c r="O81" s="140"/>
    </row>
    <row r="82" spans="1:15" ht="76.5" customHeight="1" x14ac:dyDescent="0.25">
      <c r="A82" s="267" t="s">
        <v>46</v>
      </c>
      <c r="B82" s="267" t="s">
        <v>47</v>
      </c>
      <c r="C82" s="265" t="s">
        <v>189</v>
      </c>
      <c r="D82" s="259"/>
      <c r="E82" s="269" t="s">
        <v>13</v>
      </c>
      <c r="F82" s="270"/>
      <c r="G82" s="259" t="s">
        <v>14</v>
      </c>
      <c r="H82" s="259"/>
      <c r="I82" s="265" t="s">
        <v>15</v>
      </c>
      <c r="J82" s="266"/>
      <c r="K82" s="259" t="s">
        <v>183</v>
      </c>
      <c r="L82" s="259"/>
      <c r="M82" s="265" t="s">
        <v>48</v>
      </c>
      <c r="N82" s="266"/>
    </row>
    <row r="83" spans="1:15" x14ac:dyDescent="0.25">
      <c r="A83" s="268"/>
      <c r="B83" s="268"/>
      <c r="C83" s="41" t="s">
        <v>3</v>
      </c>
      <c r="D83" s="42" t="s">
        <v>17</v>
      </c>
      <c r="E83" s="121" t="s">
        <v>3</v>
      </c>
      <c r="F83" s="124" t="s">
        <v>17</v>
      </c>
      <c r="G83" s="42" t="s">
        <v>3</v>
      </c>
      <c r="H83" s="42" t="s">
        <v>17</v>
      </c>
      <c r="I83" s="41" t="s">
        <v>3</v>
      </c>
      <c r="J83" s="43" t="s">
        <v>17</v>
      </c>
      <c r="K83" s="42" t="s">
        <v>3</v>
      </c>
      <c r="L83" s="42" t="s">
        <v>17</v>
      </c>
      <c r="M83" s="41" t="s">
        <v>3</v>
      </c>
      <c r="N83" s="43" t="s">
        <v>17</v>
      </c>
    </row>
    <row r="84" spans="1:15" ht="30" x14ac:dyDescent="0.25">
      <c r="A84" s="101" t="s">
        <v>141</v>
      </c>
      <c r="B84" s="97" t="s">
        <v>142</v>
      </c>
      <c r="C84" s="98">
        <v>60</v>
      </c>
      <c r="D84" s="108">
        <v>4711</v>
      </c>
      <c r="E84" s="116">
        <v>100</v>
      </c>
      <c r="F84" s="119">
        <v>96</v>
      </c>
      <c r="G84" s="88">
        <v>86.67</v>
      </c>
      <c r="H84" s="110">
        <f>47.5+43.9</f>
        <v>91.4</v>
      </c>
      <c r="I84" s="76">
        <v>85</v>
      </c>
      <c r="J84" s="119">
        <f>25.7+61.7</f>
        <v>87.4</v>
      </c>
      <c r="K84" s="88">
        <v>81.67</v>
      </c>
      <c r="L84" s="110">
        <f>36.4+40.7</f>
        <v>77.099999999999994</v>
      </c>
      <c r="M84" s="123">
        <v>75</v>
      </c>
      <c r="N84" s="127">
        <v>71.400000000000006</v>
      </c>
    </row>
    <row r="85" spans="1:15" x14ac:dyDescent="0.25">
      <c r="A85" s="102" t="s">
        <v>143</v>
      </c>
      <c r="B85" s="86" t="s">
        <v>142</v>
      </c>
      <c r="C85" s="93">
        <v>74</v>
      </c>
      <c r="D85" s="108">
        <v>4711</v>
      </c>
      <c r="E85" s="116">
        <v>97.3</v>
      </c>
      <c r="F85" s="119">
        <v>96</v>
      </c>
      <c r="G85" s="88">
        <v>83.33</v>
      </c>
      <c r="H85" s="110">
        <v>91.4</v>
      </c>
      <c r="I85" s="116">
        <v>81.94</v>
      </c>
      <c r="J85" s="119">
        <v>87.4</v>
      </c>
      <c r="K85" s="88">
        <v>77.78</v>
      </c>
      <c r="L85" s="110">
        <v>77.099999999999994</v>
      </c>
      <c r="M85" s="116">
        <v>66.67</v>
      </c>
      <c r="N85" s="114">
        <v>71.400000000000006</v>
      </c>
    </row>
    <row r="86" spans="1:15" x14ac:dyDescent="0.25">
      <c r="A86" s="85" t="s">
        <v>30</v>
      </c>
      <c r="B86" s="86" t="s">
        <v>144</v>
      </c>
      <c r="C86" s="93">
        <v>142</v>
      </c>
      <c r="D86" s="108">
        <v>10958</v>
      </c>
      <c r="E86" s="116">
        <v>96.48</v>
      </c>
      <c r="F86" s="119">
        <v>93</v>
      </c>
      <c r="G86" s="88">
        <v>89.05</v>
      </c>
      <c r="H86" s="110">
        <f>45.9+44.8</f>
        <v>90.699999999999989</v>
      </c>
      <c r="I86" s="116">
        <v>86.86</v>
      </c>
      <c r="J86" s="119">
        <f>25.6+59.2</f>
        <v>84.800000000000011</v>
      </c>
      <c r="K86" s="88">
        <v>87.59</v>
      </c>
      <c r="L86" s="110">
        <f>37.3+41.8</f>
        <v>79.099999999999994</v>
      </c>
      <c r="M86" s="116">
        <v>76.64</v>
      </c>
      <c r="N86" s="119">
        <v>72.900000000000006</v>
      </c>
    </row>
    <row r="87" spans="1:15" x14ac:dyDescent="0.25">
      <c r="A87" s="103" t="s">
        <v>145</v>
      </c>
      <c r="B87" s="90" t="s">
        <v>146</v>
      </c>
      <c r="C87" s="95">
        <v>194</v>
      </c>
      <c r="D87" s="108">
        <v>10460</v>
      </c>
      <c r="E87" s="118">
        <v>94.85</v>
      </c>
      <c r="F87" s="119">
        <v>92.8</v>
      </c>
      <c r="G87" s="92">
        <v>81.52</v>
      </c>
      <c r="H87" s="110">
        <f>26.9+55.1</f>
        <v>82</v>
      </c>
      <c r="I87" s="118">
        <v>69.02</v>
      </c>
      <c r="J87" s="119">
        <f>13.7+58.3</f>
        <v>72</v>
      </c>
      <c r="K87" s="92">
        <v>57.07</v>
      </c>
      <c r="L87" s="110">
        <f>24.7+37.8</f>
        <v>62.5</v>
      </c>
      <c r="M87" s="116">
        <v>56.52</v>
      </c>
      <c r="N87" s="115">
        <v>61.3</v>
      </c>
    </row>
    <row r="88" spans="1:15" x14ac:dyDescent="0.25">
      <c r="A88" s="28" t="s">
        <v>36</v>
      </c>
      <c r="B88" s="29"/>
      <c r="C88" s="6">
        <v>3143</v>
      </c>
      <c r="D88" s="152">
        <v>299320</v>
      </c>
      <c r="E88" s="54">
        <v>96.37</v>
      </c>
      <c r="F88" s="155">
        <v>93.9</v>
      </c>
      <c r="G88" s="33">
        <v>91.7</v>
      </c>
      <c r="H88" s="168">
        <v>90.5</v>
      </c>
      <c r="I88" s="33">
        <v>90.46</v>
      </c>
      <c r="J88" s="156">
        <v>88.8</v>
      </c>
      <c r="K88" s="60">
        <v>86.43</v>
      </c>
      <c r="L88" s="168">
        <v>84.4</v>
      </c>
      <c r="M88" s="125">
        <v>73.790000000000006</v>
      </c>
      <c r="N88" s="155">
        <v>72.900000000000006</v>
      </c>
    </row>
    <row r="89" spans="1:15" ht="15" customHeight="1" x14ac:dyDescent="0.25">
      <c r="A89" s="229" t="s">
        <v>177</v>
      </c>
      <c r="B89" s="229"/>
      <c r="C89" s="229"/>
      <c r="D89" s="229"/>
      <c r="E89" s="229"/>
      <c r="F89" s="229"/>
    </row>
    <row r="90" spans="1:15" x14ac:dyDescent="0.25">
      <c r="A90" s="214" t="s">
        <v>213</v>
      </c>
    </row>
    <row r="91" spans="1:15" x14ac:dyDescent="0.25">
      <c r="A91" s="214" t="s">
        <v>210</v>
      </c>
    </row>
  </sheetData>
  <mergeCells count="73">
    <mergeCell ref="I79:I80"/>
    <mergeCell ref="K79:K80"/>
    <mergeCell ref="M79:M80"/>
    <mergeCell ref="I70:J70"/>
    <mergeCell ref="K70:L70"/>
    <mergeCell ref="M70:N70"/>
    <mergeCell ref="A70:A71"/>
    <mergeCell ref="B70:B71"/>
    <mergeCell ref="C70:D70"/>
    <mergeCell ref="E70:F70"/>
    <mergeCell ref="G70:H70"/>
    <mergeCell ref="I42:J42"/>
    <mergeCell ref="K42:L42"/>
    <mergeCell ref="M42:N42"/>
    <mergeCell ref="A89:F89"/>
    <mergeCell ref="A57:A58"/>
    <mergeCell ref="B57:B58"/>
    <mergeCell ref="C57:D57"/>
    <mergeCell ref="E57:F57"/>
    <mergeCell ref="A79:A80"/>
    <mergeCell ref="A82:A83"/>
    <mergeCell ref="B82:B83"/>
    <mergeCell ref="C82:D82"/>
    <mergeCell ref="E82:F82"/>
    <mergeCell ref="G42:H42"/>
    <mergeCell ref="G57:H57"/>
    <mergeCell ref="B42:B43"/>
    <mergeCell ref="I37:J37"/>
    <mergeCell ref="K37:L37"/>
    <mergeCell ref="A1:N1"/>
    <mergeCell ref="I3:J3"/>
    <mergeCell ref="K3:L3"/>
    <mergeCell ref="M3:N3"/>
    <mergeCell ref="A14:A15"/>
    <mergeCell ref="B14:B15"/>
    <mergeCell ref="C14:D14"/>
    <mergeCell ref="E14:F14"/>
    <mergeCell ref="G14:H14"/>
    <mergeCell ref="I14:J14"/>
    <mergeCell ref="K14:L14"/>
    <mergeCell ref="M14:N14"/>
    <mergeCell ref="A3:A4"/>
    <mergeCell ref="M37:N37"/>
    <mergeCell ref="A37:A38"/>
    <mergeCell ref="B37:B38"/>
    <mergeCell ref="C37:D37"/>
    <mergeCell ref="E37:F37"/>
    <mergeCell ref="G3:H3"/>
    <mergeCell ref="C42:D42"/>
    <mergeCell ref="E42:F42"/>
    <mergeCell ref="G82:H82"/>
    <mergeCell ref="B3:B4"/>
    <mergeCell ref="C3:D3"/>
    <mergeCell ref="E3:F3"/>
    <mergeCell ref="C79:C80"/>
    <mergeCell ref="E79:E80"/>
    <mergeCell ref="G79:G80"/>
    <mergeCell ref="I82:J82"/>
    <mergeCell ref="K82:L82"/>
    <mergeCell ref="M82:N82"/>
    <mergeCell ref="A24:A25"/>
    <mergeCell ref="B24:B25"/>
    <mergeCell ref="C24:D24"/>
    <mergeCell ref="E24:F24"/>
    <mergeCell ref="G24:H24"/>
    <mergeCell ref="I24:J24"/>
    <mergeCell ref="K24:L24"/>
    <mergeCell ref="M24:N24"/>
    <mergeCell ref="G37:H37"/>
    <mergeCell ref="I57:J57"/>
    <mergeCell ref="K57:L57"/>
    <mergeCell ref="M57:N57"/>
    <mergeCell ref="A42:A43"/>
  </mergeCells>
  <pageMargins left="0.7" right="0.7" top="0.75" bottom="0.75" header="0.3" footer="0.3"/>
  <pageSetup paperSize="9" scale="86" fitToHeight="0" orientation="landscape" r:id="rId1"/>
  <rowBreaks count="7" manualBreakCount="7">
    <brk id="13" max="13" man="1"/>
    <brk id="23" max="13" man="1"/>
    <brk id="36" max="16383" man="1"/>
    <brk id="41" max="13" man="1"/>
    <brk id="56" max="16383" man="1"/>
    <brk id="69" max="16383" man="1"/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B4E71-A70B-4ABD-9BE8-67AA3A1ED706}">
  <dimension ref="G2:G13"/>
  <sheetViews>
    <sheetView topLeftCell="B1" zoomScaleNormal="100" workbookViewId="0">
      <selection activeCell="G61" sqref="G61"/>
    </sheetView>
  </sheetViews>
  <sheetFormatPr defaultRowHeight="15" x14ac:dyDescent="0.25"/>
  <cols>
    <col min="1" max="1" width="9.140625" customWidth="1"/>
    <col min="6" max="6" width="17.85546875" customWidth="1"/>
    <col min="7" max="7" width="49.5703125" customWidth="1"/>
  </cols>
  <sheetData>
    <row r="2" spans="7:7" x14ac:dyDescent="0.25">
      <c r="G2" s="283" t="s">
        <v>215</v>
      </c>
    </row>
    <row r="3" spans="7:7" x14ac:dyDescent="0.25">
      <c r="G3" s="285" t="s">
        <v>224</v>
      </c>
    </row>
    <row r="4" spans="7:7" x14ac:dyDescent="0.25">
      <c r="G4" s="286" t="s">
        <v>225</v>
      </c>
    </row>
    <row r="5" spans="7:7" ht="30" x14ac:dyDescent="0.25">
      <c r="G5" s="287" t="s">
        <v>216</v>
      </c>
    </row>
    <row r="6" spans="7:7" ht="30" x14ac:dyDescent="0.25">
      <c r="G6" s="287" t="s">
        <v>217</v>
      </c>
    </row>
    <row r="7" spans="7:7" ht="30" x14ac:dyDescent="0.25">
      <c r="G7" s="287" t="s">
        <v>218</v>
      </c>
    </row>
    <row r="8" spans="7:7" ht="30" x14ac:dyDescent="0.25">
      <c r="G8" s="287" t="s">
        <v>219</v>
      </c>
    </row>
    <row r="9" spans="7:7" ht="45" x14ac:dyDescent="0.25">
      <c r="G9" s="287" t="s">
        <v>220</v>
      </c>
    </row>
    <row r="10" spans="7:7" ht="30" x14ac:dyDescent="0.25">
      <c r="G10" s="287" t="s">
        <v>221</v>
      </c>
    </row>
    <row r="11" spans="7:7" ht="30" x14ac:dyDescent="0.25">
      <c r="G11" s="287" t="s">
        <v>222</v>
      </c>
    </row>
    <row r="12" spans="7:7" x14ac:dyDescent="0.25">
      <c r="G12" s="287" t="s">
        <v>223</v>
      </c>
    </row>
    <row r="13" spans="7:7" x14ac:dyDescent="0.25">
      <c r="G13" s="288" t="s">
        <v>226</v>
      </c>
    </row>
  </sheetData>
  <pageMargins left="0.7" right="0.7" top="0.75" bottom="0.75" header="0.3" footer="0.3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A6BD5-2152-4FDC-88E6-C04F56422BE9}">
  <dimension ref="G2:G12"/>
  <sheetViews>
    <sheetView zoomScaleNormal="100" workbookViewId="0">
      <selection activeCell="N66" sqref="N66:O66"/>
    </sheetView>
  </sheetViews>
  <sheetFormatPr defaultRowHeight="15" x14ac:dyDescent="0.25"/>
  <cols>
    <col min="7" max="7" width="52.85546875" bestFit="1" customWidth="1"/>
  </cols>
  <sheetData>
    <row r="2" spans="7:7" x14ac:dyDescent="0.25">
      <c r="G2" s="283" t="s">
        <v>215</v>
      </c>
    </row>
    <row r="3" spans="7:7" x14ac:dyDescent="0.25">
      <c r="G3" s="285" t="s">
        <v>224</v>
      </c>
    </row>
    <row r="4" spans="7:7" x14ac:dyDescent="0.25">
      <c r="G4" s="286" t="s">
        <v>225</v>
      </c>
    </row>
    <row r="5" spans="7:7" x14ac:dyDescent="0.25">
      <c r="G5" s="287" t="s">
        <v>233</v>
      </c>
    </row>
    <row r="6" spans="7:7" x14ac:dyDescent="0.25">
      <c r="G6" s="287" t="s">
        <v>227</v>
      </c>
    </row>
    <row r="7" spans="7:7" x14ac:dyDescent="0.25">
      <c r="G7" s="287" t="s">
        <v>228</v>
      </c>
    </row>
    <row r="8" spans="7:7" x14ac:dyDescent="0.25">
      <c r="G8" s="287" t="s">
        <v>229</v>
      </c>
    </row>
    <row r="9" spans="7:7" x14ac:dyDescent="0.25">
      <c r="G9" s="287" t="s">
        <v>234</v>
      </c>
    </row>
    <row r="10" spans="7:7" x14ac:dyDescent="0.25">
      <c r="G10" s="287" t="s">
        <v>230</v>
      </c>
    </row>
    <row r="11" spans="7:7" x14ac:dyDescent="0.25">
      <c r="G11" s="287" t="s">
        <v>231</v>
      </c>
    </row>
    <row r="12" spans="7:7" x14ac:dyDescent="0.25">
      <c r="G12" s="287" t="s">
        <v>232</v>
      </c>
    </row>
  </sheetData>
  <pageMargins left="0.7" right="0.7" top="0.75" bottom="0.75" header="0.3" footer="0.3"/>
  <pageSetup paperSize="9" scale="6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8"/>
  <sheetViews>
    <sheetView workbookViewId="0">
      <selection activeCell="O15" sqref="O15"/>
    </sheetView>
  </sheetViews>
  <sheetFormatPr defaultRowHeight="15" x14ac:dyDescent="0.25"/>
  <cols>
    <col min="1" max="1" width="33.85546875" customWidth="1"/>
    <col min="2" max="9" width="15.7109375" customWidth="1"/>
  </cols>
  <sheetData>
    <row r="1" spans="1:11" x14ac:dyDescent="0.25">
      <c r="A1" s="231" t="s">
        <v>192</v>
      </c>
      <c r="B1" s="231"/>
      <c r="C1" s="231"/>
      <c r="D1" s="231"/>
      <c r="E1" s="231"/>
      <c r="F1" s="231"/>
      <c r="G1" s="231"/>
      <c r="H1" s="231"/>
      <c r="I1" s="231"/>
    </row>
    <row r="2" spans="1:11" ht="15.75" x14ac:dyDescent="0.25">
      <c r="A2" s="182"/>
      <c r="B2" s="277" t="s">
        <v>198</v>
      </c>
      <c r="C2" s="276"/>
      <c r="D2" s="278" t="s">
        <v>199</v>
      </c>
      <c r="E2" s="279"/>
      <c r="F2" s="275" t="s">
        <v>200</v>
      </c>
      <c r="G2" s="276"/>
      <c r="H2" s="277" t="s">
        <v>201</v>
      </c>
      <c r="I2" s="276"/>
      <c r="K2" s="32"/>
    </row>
    <row r="3" spans="1:11" ht="75.75" customHeight="1" x14ac:dyDescent="0.25">
      <c r="A3" s="53" t="s">
        <v>151</v>
      </c>
      <c r="B3" s="23" t="s">
        <v>152</v>
      </c>
      <c r="C3" s="24" t="s">
        <v>153</v>
      </c>
      <c r="D3" s="23" t="s">
        <v>152</v>
      </c>
      <c r="E3" s="24" t="s">
        <v>153</v>
      </c>
      <c r="F3" s="27" t="s">
        <v>154</v>
      </c>
      <c r="G3" s="24" t="s">
        <v>153</v>
      </c>
      <c r="H3" s="27" t="s">
        <v>154</v>
      </c>
      <c r="I3" s="24" t="s">
        <v>153</v>
      </c>
    </row>
    <row r="4" spans="1:11" x14ac:dyDescent="0.25">
      <c r="A4" s="26" t="s">
        <v>3</v>
      </c>
      <c r="B4" s="59">
        <v>39.78</v>
      </c>
      <c r="C4" s="59">
        <v>49.6</v>
      </c>
      <c r="D4" s="160">
        <v>41.01</v>
      </c>
      <c r="E4" s="59">
        <v>48.13</v>
      </c>
      <c r="F4" s="159">
        <v>36.6</v>
      </c>
      <c r="G4" s="14">
        <v>52.1</v>
      </c>
      <c r="H4">
        <v>34.5</v>
      </c>
      <c r="I4" s="12">
        <v>50.8</v>
      </c>
    </row>
    <row r="5" spans="1:11" x14ac:dyDescent="0.25">
      <c r="A5" s="25" t="s">
        <v>4</v>
      </c>
      <c r="B5">
        <v>30.8</v>
      </c>
      <c r="C5" s="13">
        <v>50.1</v>
      </c>
      <c r="D5" s="59">
        <v>28.6</v>
      </c>
      <c r="E5">
        <v>49.5</v>
      </c>
      <c r="F5" s="21">
        <v>26.2</v>
      </c>
      <c r="G5" s="13">
        <v>49.2</v>
      </c>
      <c r="H5">
        <v>25.1</v>
      </c>
      <c r="I5" s="12">
        <v>48.5</v>
      </c>
    </row>
    <row r="6" spans="1:11" x14ac:dyDescent="0.25">
      <c r="A6" s="280"/>
      <c r="B6" s="281"/>
      <c r="C6" s="281"/>
      <c r="D6" s="281"/>
      <c r="E6" s="281"/>
      <c r="F6" s="281"/>
      <c r="G6" s="281"/>
      <c r="H6" s="281"/>
      <c r="I6" s="281"/>
    </row>
    <row r="7" spans="1:11" ht="60" x14ac:dyDescent="0.25">
      <c r="A7" s="52" t="s">
        <v>155</v>
      </c>
      <c r="B7" s="23" t="s">
        <v>156</v>
      </c>
      <c r="C7" s="24" t="s">
        <v>157</v>
      </c>
      <c r="D7" s="23" t="s">
        <v>156</v>
      </c>
      <c r="E7" s="24" t="s">
        <v>157</v>
      </c>
      <c r="F7" s="23" t="s">
        <v>156</v>
      </c>
      <c r="G7" s="24" t="s">
        <v>157</v>
      </c>
      <c r="H7" s="23" t="s">
        <v>156</v>
      </c>
      <c r="I7" s="24" t="s">
        <v>157</v>
      </c>
    </row>
    <row r="8" spans="1:11" x14ac:dyDescent="0.25">
      <c r="A8" s="26" t="s">
        <v>3</v>
      </c>
      <c r="B8">
        <v>64.7</v>
      </c>
      <c r="C8" s="12">
        <v>35.299999999999997</v>
      </c>
      <c r="D8" s="59">
        <v>66.099999999999994</v>
      </c>
      <c r="E8" s="59">
        <v>33.9</v>
      </c>
      <c r="F8" s="159">
        <v>64.099999999999994</v>
      </c>
      <c r="G8" s="14">
        <v>35.9</v>
      </c>
      <c r="H8">
        <v>58.9</v>
      </c>
      <c r="I8" s="14">
        <v>41.1</v>
      </c>
    </row>
    <row r="9" spans="1:11" x14ac:dyDescent="0.25">
      <c r="A9" s="162" t="s">
        <v>4</v>
      </c>
      <c r="B9">
        <v>57.8</v>
      </c>
      <c r="C9" s="13">
        <v>42.2</v>
      </c>
      <c r="D9" s="59">
        <v>55.8</v>
      </c>
      <c r="E9" s="59">
        <v>44.2</v>
      </c>
      <c r="F9" s="21">
        <v>53.6</v>
      </c>
      <c r="G9" s="12">
        <v>46.4</v>
      </c>
      <c r="H9">
        <v>51.6</v>
      </c>
      <c r="I9" s="13">
        <v>48.4</v>
      </c>
    </row>
    <row r="10" spans="1:11" x14ac:dyDescent="0.25">
      <c r="A10" s="280"/>
      <c r="B10" s="281"/>
      <c r="C10" s="281"/>
      <c r="D10" s="281"/>
      <c r="E10" s="281"/>
      <c r="F10" s="281"/>
      <c r="G10" s="281"/>
      <c r="H10" s="281"/>
      <c r="I10" s="281"/>
    </row>
    <row r="11" spans="1:11" ht="45" x14ac:dyDescent="0.25">
      <c r="A11" s="52" t="s">
        <v>158</v>
      </c>
      <c r="B11" s="23" t="s">
        <v>159</v>
      </c>
      <c r="C11" s="24" t="s">
        <v>160</v>
      </c>
      <c r="D11" s="23" t="s">
        <v>159</v>
      </c>
      <c r="E11" s="24" t="s">
        <v>160</v>
      </c>
      <c r="F11" s="27" t="s">
        <v>161</v>
      </c>
      <c r="G11" s="24" t="s">
        <v>160</v>
      </c>
      <c r="H11" s="23" t="s">
        <v>159</v>
      </c>
      <c r="I11" s="24" t="s">
        <v>160</v>
      </c>
    </row>
    <row r="12" spans="1:11" x14ac:dyDescent="0.25">
      <c r="A12" s="26" t="s">
        <v>3</v>
      </c>
      <c r="B12" s="59">
        <v>52.06</v>
      </c>
      <c r="C12" s="59">
        <v>44.82</v>
      </c>
      <c r="D12" s="160">
        <v>54.39</v>
      </c>
      <c r="E12" s="59">
        <v>43.21</v>
      </c>
      <c r="F12" s="160">
        <v>53</v>
      </c>
      <c r="G12" s="37">
        <v>43.3</v>
      </c>
      <c r="H12">
        <v>50.4</v>
      </c>
      <c r="I12" s="14">
        <v>45.8</v>
      </c>
    </row>
    <row r="13" spans="1:11" x14ac:dyDescent="0.25">
      <c r="A13" s="25" t="s">
        <v>4</v>
      </c>
      <c r="B13">
        <v>40.9</v>
      </c>
      <c r="C13" s="13">
        <v>52.4</v>
      </c>
      <c r="D13">
        <v>42.5</v>
      </c>
      <c r="E13">
        <v>50.9</v>
      </c>
      <c r="F13" s="161">
        <v>41.5</v>
      </c>
      <c r="G13" s="38">
        <v>50.9</v>
      </c>
      <c r="H13">
        <v>39.200000000000003</v>
      </c>
      <c r="I13" s="13">
        <v>52.5</v>
      </c>
    </row>
    <row r="14" spans="1:11" x14ac:dyDescent="0.25">
      <c r="A14" s="280"/>
      <c r="B14" s="281"/>
      <c r="C14" s="281"/>
      <c r="D14" s="281"/>
      <c r="E14" s="281"/>
      <c r="F14" s="281"/>
      <c r="G14" s="281"/>
      <c r="H14" s="281"/>
      <c r="I14" s="281"/>
    </row>
    <row r="15" spans="1:11" ht="60" customHeight="1" x14ac:dyDescent="0.25">
      <c r="A15" s="52" t="s">
        <v>162</v>
      </c>
      <c r="B15" s="23" t="s">
        <v>154</v>
      </c>
      <c r="C15" s="24" t="s">
        <v>153</v>
      </c>
      <c r="D15" s="23" t="s">
        <v>154</v>
      </c>
      <c r="E15" s="24" t="s">
        <v>153</v>
      </c>
      <c r="F15" s="27" t="s">
        <v>154</v>
      </c>
      <c r="G15" s="24" t="s">
        <v>153</v>
      </c>
      <c r="H15" s="23" t="s">
        <v>154</v>
      </c>
      <c r="I15" s="24" t="s">
        <v>153</v>
      </c>
    </row>
    <row r="16" spans="1:11" x14ac:dyDescent="0.25">
      <c r="A16" s="26" t="s">
        <v>3</v>
      </c>
      <c r="B16" s="160">
        <v>36.39</v>
      </c>
      <c r="C16" s="160">
        <v>47</v>
      </c>
      <c r="D16" s="160">
        <v>36.340000000000003</v>
      </c>
      <c r="E16" s="59">
        <v>45.33</v>
      </c>
      <c r="F16" s="160">
        <v>32</v>
      </c>
      <c r="G16" s="37">
        <v>47.5</v>
      </c>
      <c r="H16">
        <v>28.9</v>
      </c>
      <c r="I16">
        <v>49.6</v>
      </c>
      <c r="J16" s="19"/>
    </row>
    <row r="17" spans="1:9" x14ac:dyDescent="0.25">
      <c r="A17" s="25" t="s">
        <v>4</v>
      </c>
      <c r="B17">
        <v>30.3</v>
      </c>
      <c r="C17" s="13">
        <v>47.2</v>
      </c>
      <c r="D17" s="59">
        <v>28</v>
      </c>
      <c r="E17" s="59">
        <v>46.6</v>
      </c>
      <c r="F17" s="161">
        <v>25.2</v>
      </c>
      <c r="G17" s="38">
        <v>46</v>
      </c>
      <c r="H17" s="184">
        <v>23.4</v>
      </c>
      <c r="I17" s="13">
        <v>45.6</v>
      </c>
    </row>
    <row r="18" spans="1:9" x14ac:dyDescent="0.25">
      <c r="A18" s="229" t="s">
        <v>177</v>
      </c>
      <c r="B18" s="229"/>
      <c r="C18" s="229"/>
      <c r="D18" s="229"/>
      <c r="E18" s="229"/>
      <c r="F18" s="229"/>
      <c r="G18" s="1"/>
      <c r="H18" s="147"/>
    </row>
  </sheetData>
  <mergeCells count="9">
    <mergeCell ref="A1:I1"/>
    <mergeCell ref="A18:F18"/>
    <mergeCell ref="F2:G2"/>
    <mergeCell ref="H2:I2"/>
    <mergeCell ref="D2:E2"/>
    <mergeCell ref="A6:I6"/>
    <mergeCell ref="A10:I10"/>
    <mergeCell ref="A14:I14"/>
    <mergeCell ref="B2:C2"/>
  </mergeCells>
  <pageMargins left="0.7" right="0.7" top="0.75" bottom="0.75" header="0.3" footer="0.3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6"/>
  <sheetViews>
    <sheetView zoomScaleNormal="100" workbookViewId="0">
      <selection activeCell="A13" sqref="A13"/>
    </sheetView>
  </sheetViews>
  <sheetFormatPr defaultRowHeight="15" x14ac:dyDescent="0.25"/>
  <cols>
    <col min="1" max="1" width="17" customWidth="1"/>
    <col min="2" max="17" width="12.7109375" customWidth="1"/>
  </cols>
  <sheetData>
    <row r="1" spans="1:18" x14ac:dyDescent="0.25">
      <c r="A1" s="282" t="s">
        <v>203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8" x14ac:dyDescent="0.25">
      <c r="A2" s="55"/>
      <c r="B2" s="55"/>
      <c r="C2" s="55"/>
      <c r="D2" s="55"/>
      <c r="E2" s="55"/>
      <c r="F2" s="55"/>
    </row>
    <row r="3" spans="1:18" ht="54" customHeight="1" x14ac:dyDescent="0.25">
      <c r="B3" s="223" t="s">
        <v>163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56"/>
    </row>
    <row r="4" spans="1:18" x14ac:dyDescent="0.25">
      <c r="A4" s="55"/>
      <c r="B4" s="262" t="s">
        <v>198</v>
      </c>
      <c r="C4" s="263"/>
      <c r="D4" s="263"/>
      <c r="E4" s="264"/>
      <c r="F4" s="262" t="s">
        <v>199</v>
      </c>
      <c r="G4" s="263"/>
      <c r="H4" s="263"/>
      <c r="I4" s="264"/>
      <c r="J4" s="262" t="s">
        <v>200</v>
      </c>
      <c r="K4" s="263"/>
      <c r="L4" s="263"/>
      <c r="M4" s="264"/>
      <c r="N4" s="262" t="s">
        <v>201</v>
      </c>
      <c r="O4" s="263"/>
      <c r="P4" s="263"/>
      <c r="Q4" s="264"/>
    </row>
    <row r="5" spans="1:18" ht="45" x14ac:dyDescent="0.25">
      <c r="A5" s="83" t="s">
        <v>27</v>
      </c>
      <c r="B5" s="175" t="s">
        <v>164</v>
      </c>
      <c r="C5" s="176" t="s">
        <v>165</v>
      </c>
      <c r="D5" s="176" t="s">
        <v>166</v>
      </c>
      <c r="E5" s="177" t="s">
        <v>178</v>
      </c>
      <c r="F5" s="175" t="s">
        <v>164</v>
      </c>
      <c r="G5" s="176" t="s">
        <v>165</v>
      </c>
      <c r="H5" s="176" t="s">
        <v>166</v>
      </c>
      <c r="I5" s="177" t="s">
        <v>178</v>
      </c>
      <c r="J5" s="175" t="s">
        <v>164</v>
      </c>
      <c r="K5" s="176" t="s">
        <v>165</v>
      </c>
      <c r="L5" s="176" t="s">
        <v>166</v>
      </c>
      <c r="M5" s="177" t="s">
        <v>178</v>
      </c>
      <c r="N5" s="175" t="s">
        <v>164</v>
      </c>
      <c r="O5" s="176" t="s">
        <v>165</v>
      </c>
      <c r="P5" s="176" t="s">
        <v>166</v>
      </c>
      <c r="Q5" s="177" t="s">
        <v>178</v>
      </c>
    </row>
    <row r="6" spans="1:18" ht="30" x14ac:dyDescent="0.25">
      <c r="A6" s="82" t="s">
        <v>28</v>
      </c>
      <c r="B6" s="63">
        <v>33.33</v>
      </c>
      <c r="C6" s="63">
        <v>54.55</v>
      </c>
      <c r="D6" s="63">
        <v>12.12</v>
      </c>
      <c r="E6" s="67">
        <v>0</v>
      </c>
      <c r="F6" s="63">
        <v>27.59</v>
      </c>
      <c r="G6" s="63">
        <v>60.34</v>
      </c>
      <c r="H6" s="63">
        <v>10.34</v>
      </c>
      <c r="I6" s="67">
        <v>1.72</v>
      </c>
      <c r="J6" s="63">
        <v>40.6</v>
      </c>
      <c r="K6" s="63">
        <v>48.4</v>
      </c>
      <c r="L6" s="63">
        <v>10.9</v>
      </c>
      <c r="M6" s="64">
        <v>0</v>
      </c>
      <c r="N6" s="62">
        <v>42.9</v>
      </c>
      <c r="O6" s="63">
        <v>41.1</v>
      </c>
      <c r="P6" s="63">
        <v>16.100000000000001</v>
      </c>
      <c r="Q6" s="64">
        <v>0</v>
      </c>
    </row>
    <row r="7" spans="1:18" ht="45" x14ac:dyDescent="0.25">
      <c r="A7" s="82" t="s">
        <v>37</v>
      </c>
      <c r="B7" s="63">
        <v>42.31</v>
      </c>
      <c r="C7" s="63">
        <v>39.56</v>
      </c>
      <c r="D7" s="63">
        <v>12.64</v>
      </c>
      <c r="E7" s="64">
        <v>3.85</v>
      </c>
      <c r="F7" s="63">
        <v>44.51</v>
      </c>
      <c r="G7" s="63">
        <v>43.96</v>
      </c>
      <c r="H7" s="63">
        <v>8.24</v>
      </c>
      <c r="I7" s="64">
        <v>2.75</v>
      </c>
      <c r="J7" s="63">
        <v>41.1</v>
      </c>
      <c r="K7" s="63">
        <v>46.3</v>
      </c>
      <c r="L7" s="63">
        <v>10.4</v>
      </c>
      <c r="M7" s="63">
        <v>1.7</v>
      </c>
      <c r="N7" s="62">
        <v>36.5</v>
      </c>
      <c r="O7" s="63">
        <v>50.6</v>
      </c>
      <c r="P7" s="63">
        <v>12.4</v>
      </c>
      <c r="Q7" s="64">
        <v>0.4</v>
      </c>
    </row>
    <row r="8" spans="1:18" ht="30" x14ac:dyDescent="0.25">
      <c r="A8" s="82" t="s">
        <v>29</v>
      </c>
      <c r="B8" s="63">
        <v>43.95</v>
      </c>
      <c r="C8" s="63">
        <v>48.88</v>
      </c>
      <c r="D8" s="63">
        <v>6.28</v>
      </c>
      <c r="E8" s="64">
        <v>0</v>
      </c>
      <c r="F8" s="63">
        <v>43.67</v>
      </c>
      <c r="G8" s="63">
        <v>51.09</v>
      </c>
      <c r="H8" s="63">
        <v>3.93</v>
      </c>
      <c r="I8" s="64">
        <v>0.44</v>
      </c>
      <c r="J8" s="63">
        <v>54.1</v>
      </c>
      <c r="K8" s="63">
        <v>41.9</v>
      </c>
      <c r="L8" s="63">
        <v>3.5</v>
      </c>
      <c r="M8" s="63">
        <v>0.4</v>
      </c>
      <c r="N8" s="62">
        <v>43.7</v>
      </c>
      <c r="O8" s="63">
        <v>52.4</v>
      </c>
      <c r="P8" s="63">
        <v>3</v>
      </c>
      <c r="Q8" s="64">
        <v>0.9</v>
      </c>
      <c r="R8" s="59"/>
    </row>
    <row r="9" spans="1:18" ht="60" x14ac:dyDescent="0.25">
      <c r="A9" s="82" t="s">
        <v>42</v>
      </c>
      <c r="B9" s="63">
        <v>54.98</v>
      </c>
      <c r="C9" s="63">
        <v>37.659999999999997</v>
      </c>
      <c r="D9" s="63">
        <v>5.19</v>
      </c>
      <c r="E9" s="64">
        <v>2.16</v>
      </c>
      <c r="F9" s="63">
        <v>62.2</v>
      </c>
      <c r="G9" s="63">
        <v>33.54</v>
      </c>
      <c r="H9" s="63">
        <v>2.44</v>
      </c>
      <c r="I9" s="64">
        <v>1.83</v>
      </c>
      <c r="J9" s="63">
        <v>56.1</v>
      </c>
      <c r="K9" s="63">
        <v>34.799999999999997</v>
      </c>
      <c r="L9" s="63">
        <v>7.7</v>
      </c>
      <c r="M9" s="63">
        <v>1.3</v>
      </c>
      <c r="N9" s="62">
        <v>58.8</v>
      </c>
      <c r="O9" s="63">
        <v>32.4</v>
      </c>
      <c r="P9" s="63">
        <v>7.4</v>
      </c>
      <c r="Q9" s="64">
        <v>1.5</v>
      </c>
    </row>
    <row r="10" spans="1:18" x14ac:dyDescent="0.25">
      <c r="A10" s="82" t="s">
        <v>30</v>
      </c>
      <c r="B10" s="63">
        <v>63.49</v>
      </c>
      <c r="C10" s="63">
        <v>30.16</v>
      </c>
      <c r="D10" s="63">
        <v>4.2300000000000004</v>
      </c>
      <c r="E10" s="64">
        <v>1.06</v>
      </c>
      <c r="F10" s="63">
        <v>60.67</v>
      </c>
      <c r="G10" s="63">
        <v>30.9</v>
      </c>
      <c r="H10" s="63">
        <v>6.74</v>
      </c>
      <c r="I10" s="64">
        <v>1.69</v>
      </c>
      <c r="J10" s="63">
        <v>65.099999999999994</v>
      </c>
      <c r="K10" s="63">
        <v>28.5</v>
      </c>
      <c r="L10" s="63">
        <v>5.2</v>
      </c>
      <c r="M10" s="63">
        <v>0.4</v>
      </c>
      <c r="N10" s="62">
        <v>57.4</v>
      </c>
      <c r="O10" s="63">
        <v>35.700000000000003</v>
      </c>
      <c r="P10" s="63">
        <v>5.7</v>
      </c>
      <c r="Q10" s="64">
        <v>0.9</v>
      </c>
    </row>
    <row r="11" spans="1:18" ht="60" x14ac:dyDescent="0.25">
      <c r="A11" s="82" t="s">
        <v>31</v>
      </c>
      <c r="B11" s="63">
        <v>50.61</v>
      </c>
      <c r="C11" s="63">
        <v>42.68</v>
      </c>
      <c r="D11" s="63">
        <v>5.49</v>
      </c>
      <c r="E11" s="64">
        <v>0.61</v>
      </c>
      <c r="F11" s="63">
        <v>49.68</v>
      </c>
      <c r="G11" s="63">
        <v>42.58</v>
      </c>
      <c r="H11" s="63">
        <v>6.45</v>
      </c>
      <c r="I11" s="64">
        <v>0.65</v>
      </c>
      <c r="J11" s="63">
        <v>44.2</v>
      </c>
      <c r="K11" s="63">
        <v>40.6</v>
      </c>
      <c r="L11" s="63">
        <v>13.9</v>
      </c>
      <c r="M11" s="63">
        <v>1.2</v>
      </c>
      <c r="N11" s="62">
        <v>54</v>
      </c>
      <c r="O11" s="63">
        <v>40.299999999999997</v>
      </c>
      <c r="P11" s="63">
        <v>5.8</v>
      </c>
      <c r="Q11" s="64">
        <v>0</v>
      </c>
    </row>
    <row r="12" spans="1:18" ht="45" x14ac:dyDescent="0.25">
      <c r="A12" s="82" t="s">
        <v>41</v>
      </c>
      <c r="B12" s="63">
        <v>44.72</v>
      </c>
      <c r="C12" s="63">
        <v>43.09</v>
      </c>
      <c r="D12" s="63">
        <v>10.57</v>
      </c>
      <c r="E12" s="64">
        <v>0</v>
      </c>
      <c r="F12" s="63">
        <v>41.09</v>
      </c>
      <c r="G12" s="63">
        <v>51.94</v>
      </c>
      <c r="H12" s="63">
        <v>6.2</v>
      </c>
      <c r="I12" s="64">
        <v>0</v>
      </c>
      <c r="J12" s="63">
        <v>48.9</v>
      </c>
      <c r="K12" s="63">
        <v>37.799999999999997</v>
      </c>
      <c r="L12" s="63">
        <v>12.6</v>
      </c>
      <c r="M12" s="63">
        <v>0.7</v>
      </c>
      <c r="N12" s="62">
        <v>39.6</v>
      </c>
      <c r="O12" s="63">
        <v>49.6</v>
      </c>
      <c r="P12" s="63">
        <v>9.4</v>
      </c>
      <c r="Q12" s="64">
        <v>1.4</v>
      </c>
    </row>
    <row r="13" spans="1:18" ht="90" x14ac:dyDescent="0.25">
      <c r="A13" s="82" t="s">
        <v>43</v>
      </c>
      <c r="B13" s="63">
        <v>47.17</v>
      </c>
      <c r="C13" s="63">
        <v>46.23</v>
      </c>
      <c r="D13" s="63">
        <v>5.66</v>
      </c>
      <c r="E13" s="64">
        <v>0</v>
      </c>
      <c r="F13" s="63">
        <v>49</v>
      </c>
      <c r="G13" s="63">
        <v>41.04</v>
      </c>
      <c r="H13" s="63">
        <v>7.97</v>
      </c>
      <c r="I13" s="64">
        <v>1.2</v>
      </c>
      <c r="J13" s="63">
        <v>35.5</v>
      </c>
      <c r="K13" s="63">
        <v>50.2</v>
      </c>
      <c r="L13" s="63">
        <v>13.4</v>
      </c>
      <c r="M13" s="63">
        <v>0.9</v>
      </c>
      <c r="N13" s="62">
        <v>47.3</v>
      </c>
      <c r="O13" s="63">
        <v>45.7</v>
      </c>
      <c r="P13" s="63">
        <v>5.9</v>
      </c>
      <c r="Q13" s="64">
        <v>0.5</v>
      </c>
    </row>
    <row r="14" spans="1:18" x14ac:dyDescent="0.25">
      <c r="A14" s="82" t="s">
        <v>32</v>
      </c>
      <c r="B14" s="63">
        <v>59.18</v>
      </c>
      <c r="C14" s="63">
        <v>34.69</v>
      </c>
      <c r="D14" s="63">
        <v>5.0999999999999996</v>
      </c>
      <c r="E14" s="64">
        <v>1.02</v>
      </c>
      <c r="F14" s="63">
        <v>54.76</v>
      </c>
      <c r="G14" s="63">
        <v>35.71</v>
      </c>
      <c r="H14" s="63">
        <v>9.52</v>
      </c>
      <c r="I14" s="64">
        <v>0</v>
      </c>
      <c r="J14" s="63">
        <v>59.4</v>
      </c>
      <c r="K14" s="63">
        <v>33.299999999999997</v>
      </c>
      <c r="L14" s="63">
        <v>2.9</v>
      </c>
      <c r="M14" s="64">
        <v>0</v>
      </c>
      <c r="N14" s="62">
        <v>58.6</v>
      </c>
      <c r="O14" s="63">
        <v>34.299999999999997</v>
      </c>
      <c r="P14" s="63">
        <v>7.1</v>
      </c>
      <c r="Q14" s="64">
        <v>0</v>
      </c>
    </row>
    <row r="15" spans="1:18" ht="45" x14ac:dyDescent="0.25">
      <c r="A15" s="82" t="s">
        <v>38</v>
      </c>
      <c r="B15" s="63">
        <v>49.23</v>
      </c>
      <c r="C15" s="63">
        <v>41.54</v>
      </c>
      <c r="D15" s="63">
        <v>7.69</v>
      </c>
      <c r="E15" s="64">
        <v>1.54</v>
      </c>
      <c r="F15" s="63">
        <v>55.41</v>
      </c>
      <c r="G15" s="63">
        <v>29.73</v>
      </c>
      <c r="H15" s="63">
        <v>9.4600000000000009</v>
      </c>
      <c r="I15" s="64">
        <v>5.41</v>
      </c>
      <c r="J15" s="63">
        <v>50</v>
      </c>
      <c r="K15" s="63">
        <v>38.299999999999997</v>
      </c>
      <c r="L15" s="63">
        <v>10</v>
      </c>
      <c r="M15" s="63">
        <v>1.7</v>
      </c>
      <c r="N15" s="62">
        <v>60</v>
      </c>
      <c r="O15" s="63">
        <v>36.700000000000003</v>
      </c>
      <c r="P15" s="63">
        <v>3.3</v>
      </c>
      <c r="Q15" s="64">
        <v>0</v>
      </c>
    </row>
    <row r="16" spans="1:18" ht="45" x14ac:dyDescent="0.25">
      <c r="A16" s="84" t="s">
        <v>33</v>
      </c>
      <c r="B16" s="69">
        <v>18.329999999999998</v>
      </c>
      <c r="C16" s="69">
        <v>56.11</v>
      </c>
      <c r="D16" s="69">
        <v>19.91</v>
      </c>
      <c r="E16" s="70">
        <v>5.43</v>
      </c>
      <c r="F16" s="69">
        <v>21.28</v>
      </c>
      <c r="G16" s="69">
        <v>47.52</v>
      </c>
      <c r="H16" s="69">
        <v>25.66</v>
      </c>
      <c r="I16" s="70">
        <v>4.96</v>
      </c>
      <c r="J16" s="69">
        <v>21.9</v>
      </c>
      <c r="K16" s="69">
        <v>53.2</v>
      </c>
      <c r="L16" s="69">
        <v>20.9</v>
      </c>
      <c r="M16" s="69">
        <v>3.7</v>
      </c>
      <c r="N16" s="68">
        <v>19.8</v>
      </c>
      <c r="O16" s="69">
        <v>54.8</v>
      </c>
      <c r="P16" s="69">
        <v>20.5</v>
      </c>
      <c r="Q16" s="70">
        <v>4.5999999999999996</v>
      </c>
    </row>
    <row r="17" spans="1:17" ht="54" customHeight="1" x14ac:dyDescent="0.25">
      <c r="A17" s="159"/>
      <c r="B17" s="223" t="s">
        <v>163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56"/>
    </row>
    <row r="18" spans="1:17" x14ac:dyDescent="0.25">
      <c r="A18" s="179"/>
      <c r="B18" s="262" t="s">
        <v>198</v>
      </c>
      <c r="C18" s="263"/>
      <c r="D18" s="263"/>
      <c r="E18" s="264"/>
      <c r="F18" s="262" t="s">
        <v>199</v>
      </c>
      <c r="G18" s="263"/>
      <c r="H18" s="263"/>
      <c r="I18" s="264"/>
      <c r="J18" s="262" t="s">
        <v>200</v>
      </c>
      <c r="K18" s="263"/>
      <c r="L18" s="263"/>
      <c r="M18" s="264"/>
      <c r="N18" s="262" t="s">
        <v>201</v>
      </c>
      <c r="O18" s="263"/>
      <c r="P18" s="263"/>
      <c r="Q18" s="264"/>
    </row>
    <row r="19" spans="1:17" ht="45" x14ac:dyDescent="0.25">
      <c r="A19" s="83" t="s">
        <v>27</v>
      </c>
      <c r="B19" s="175" t="s">
        <v>164</v>
      </c>
      <c r="C19" s="176" t="s">
        <v>165</v>
      </c>
      <c r="D19" s="176" t="s">
        <v>166</v>
      </c>
      <c r="E19" s="177" t="s">
        <v>178</v>
      </c>
      <c r="F19" s="175" t="s">
        <v>164</v>
      </c>
      <c r="G19" s="176" t="s">
        <v>165</v>
      </c>
      <c r="H19" s="176" t="s">
        <v>166</v>
      </c>
      <c r="I19" s="177" t="s">
        <v>178</v>
      </c>
      <c r="J19" s="175" t="s">
        <v>164</v>
      </c>
      <c r="K19" s="176" t="s">
        <v>165</v>
      </c>
      <c r="L19" s="176" t="s">
        <v>166</v>
      </c>
      <c r="M19" s="177" t="s">
        <v>178</v>
      </c>
      <c r="N19" s="175" t="s">
        <v>164</v>
      </c>
      <c r="O19" s="176" t="s">
        <v>165</v>
      </c>
      <c r="P19" s="176" t="s">
        <v>166</v>
      </c>
      <c r="Q19" s="177" t="s">
        <v>178</v>
      </c>
    </row>
    <row r="20" spans="1:17" ht="30" x14ac:dyDescent="0.25">
      <c r="A20" s="82" t="s">
        <v>39</v>
      </c>
      <c r="B20" s="63">
        <v>63.53</v>
      </c>
      <c r="C20" s="63">
        <v>32.94</v>
      </c>
      <c r="D20" s="63">
        <v>3.53</v>
      </c>
      <c r="E20" s="67">
        <v>0</v>
      </c>
      <c r="F20" s="63">
        <v>70.52</v>
      </c>
      <c r="G20" s="63">
        <v>27.75</v>
      </c>
      <c r="H20" s="63">
        <v>1.73</v>
      </c>
      <c r="I20" s="64">
        <v>0</v>
      </c>
      <c r="J20" s="63">
        <v>64</v>
      </c>
      <c r="K20" s="63">
        <v>30.1</v>
      </c>
      <c r="L20" s="63">
        <v>4.4000000000000004</v>
      </c>
      <c r="M20" s="63">
        <v>0.7</v>
      </c>
      <c r="N20" s="62">
        <v>67.3</v>
      </c>
      <c r="O20" s="63">
        <v>30.2</v>
      </c>
      <c r="P20" s="63">
        <v>1.9</v>
      </c>
      <c r="Q20" s="64">
        <v>0</v>
      </c>
    </row>
    <row r="21" spans="1:17" ht="45" x14ac:dyDescent="0.25">
      <c r="A21" s="82" t="s">
        <v>40</v>
      </c>
      <c r="B21" s="63">
        <v>50.14</v>
      </c>
      <c r="C21" s="63">
        <v>42.7</v>
      </c>
      <c r="D21" s="63">
        <v>5.79</v>
      </c>
      <c r="E21" s="64">
        <v>1.1000000000000001</v>
      </c>
      <c r="F21" s="63">
        <v>50</v>
      </c>
      <c r="G21" s="63">
        <v>45.19</v>
      </c>
      <c r="H21" s="63">
        <v>4.33</v>
      </c>
      <c r="I21" s="64">
        <v>0</v>
      </c>
      <c r="J21" s="63">
        <v>44.6</v>
      </c>
      <c r="K21" s="63">
        <v>46.7</v>
      </c>
      <c r="L21" s="63">
        <v>7.7</v>
      </c>
      <c r="M21" s="63">
        <v>0.5</v>
      </c>
      <c r="N21" s="62">
        <v>67.3</v>
      </c>
      <c r="O21" s="63">
        <v>30.2</v>
      </c>
      <c r="P21" s="63">
        <v>1.9</v>
      </c>
      <c r="Q21" s="64">
        <v>0</v>
      </c>
    </row>
    <row r="22" spans="1:17" ht="30" x14ac:dyDescent="0.25">
      <c r="A22" s="82" t="s">
        <v>34</v>
      </c>
      <c r="B22" s="63">
        <v>62.96</v>
      </c>
      <c r="C22" s="63">
        <v>34.57</v>
      </c>
      <c r="D22" s="63">
        <v>1.85</v>
      </c>
      <c r="E22" s="64">
        <v>0.62</v>
      </c>
      <c r="F22" s="63">
        <v>67.069999999999993</v>
      </c>
      <c r="G22" s="63">
        <v>28.14</v>
      </c>
      <c r="H22" s="63">
        <v>4.79</v>
      </c>
      <c r="I22" s="64">
        <v>0</v>
      </c>
      <c r="J22" s="63">
        <v>59.2</v>
      </c>
      <c r="K22" s="63">
        <v>36.1</v>
      </c>
      <c r="L22" s="63">
        <v>4.8</v>
      </c>
      <c r="M22" s="64">
        <v>0</v>
      </c>
      <c r="N22" s="62">
        <v>57.1</v>
      </c>
      <c r="O22" s="63">
        <v>36.200000000000003</v>
      </c>
      <c r="P22" s="63">
        <v>6.1</v>
      </c>
      <c r="Q22" s="64">
        <v>0.6</v>
      </c>
    </row>
    <row r="23" spans="1:17" ht="30" x14ac:dyDescent="0.25">
      <c r="A23" s="82" t="s">
        <v>35</v>
      </c>
      <c r="B23" s="63">
        <v>44.27</v>
      </c>
      <c r="C23" s="63">
        <v>48.31</v>
      </c>
      <c r="D23" s="63">
        <v>6.29</v>
      </c>
      <c r="E23" s="70">
        <v>0.67</v>
      </c>
      <c r="F23" s="63">
        <v>50.95</v>
      </c>
      <c r="G23" s="63">
        <v>39.81</v>
      </c>
      <c r="H23" s="63">
        <v>7.82</v>
      </c>
      <c r="I23" s="64">
        <v>0.95</v>
      </c>
      <c r="J23" s="63">
        <v>44.6</v>
      </c>
      <c r="K23" s="63">
        <v>46.6</v>
      </c>
      <c r="L23" s="63">
        <v>7.7</v>
      </c>
      <c r="M23" s="63">
        <v>0.9</v>
      </c>
      <c r="N23" s="68">
        <v>37.1</v>
      </c>
      <c r="O23" s="69">
        <v>51.9</v>
      </c>
      <c r="P23" s="69">
        <v>9.3000000000000007</v>
      </c>
      <c r="Q23" s="70">
        <v>1.4</v>
      </c>
    </row>
    <row r="24" spans="1:17" x14ac:dyDescent="0.25">
      <c r="A24" s="34" t="s">
        <v>36</v>
      </c>
      <c r="B24" s="164">
        <v>45.96</v>
      </c>
      <c r="C24" s="164">
        <v>43.71</v>
      </c>
      <c r="D24" s="164">
        <v>8.2200000000000006</v>
      </c>
      <c r="E24" s="165">
        <v>1.62</v>
      </c>
      <c r="F24" s="164">
        <v>48.74</v>
      </c>
      <c r="G24" s="164">
        <v>40.82</v>
      </c>
      <c r="H24" s="164">
        <v>8.52</v>
      </c>
      <c r="I24" s="165">
        <v>1.49</v>
      </c>
      <c r="J24" s="72">
        <v>46.1</v>
      </c>
      <c r="K24" s="72">
        <v>42.6</v>
      </c>
      <c r="L24" s="72">
        <v>9.8000000000000007</v>
      </c>
      <c r="M24" s="73">
        <v>1.2</v>
      </c>
      <c r="N24" s="71">
        <v>43.9</v>
      </c>
      <c r="O24" s="72">
        <v>45.2</v>
      </c>
      <c r="P24" s="72">
        <v>9.3000000000000007</v>
      </c>
      <c r="Q24" s="73">
        <v>1.4</v>
      </c>
    </row>
    <row r="25" spans="1:17" x14ac:dyDescent="0.25">
      <c r="A25" s="34" t="s">
        <v>4</v>
      </c>
      <c r="B25" s="196">
        <v>38.299999999999997</v>
      </c>
      <c r="C25" s="196">
        <v>47.3</v>
      </c>
      <c r="D25" s="196">
        <v>11.5</v>
      </c>
      <c r="E25" s="197">
        <v>2.4</v>
      </c>
      <c r="F25" s="180">
        <v>38.299999999999997</v>
      </c>
      <c r="G25" s="180">
        <v>46.7</v>
      </c>
      <c r="H25" s="180">
        <v>12.4</v>
      </c>
      <c r="I25" s="165">
        <v>2.4</v>
      </c>
      <c r="J25" s="74">
        <v>35.9</v>
      </c>
      <c r="K25" s="74">
        <v>47</v>
      </c>
      <c r="L25" s="72">
        <v>14</v>
      </c>
      <c r="M25" s="73">
        <v>2.8</v>
      </c>
      <c r="N25" s="71">
        <v>35</v>
      </c>
      <c r="O25" s="72">
        <v>47.1</v>
      </c>
      <c r="P25" s="72">
        <v>14.6</v>
      </c>
      <c r="Q25" s="73">
        <v>3</v>
      </c>
    </row>
    <row r="26" spans="1:17" ht="15" customHeight="1" x14ac:dyDescent="0.25">
      <c r="A26" s="229" t="s">
        <v>177</v>
      </c>
      <c r="B26" s="229"/>
      <c r="C26" s="229"/>
      <c r="D26" s="229"/>
      <c r="E26" s="229"/>
      <c r="F26" s="229"/>
      <c r="G26" s="147"/>
    </row>
  </sheetData>
  <mergeCells count="12">
    <mergeCell ref="A26:F26"/>
    <mergeCell ref="F18:I18"/>
    <mergeCell ref="J18:M18"/>
    <mergeCell ref="A1:Q1"/>
    <mergeCell ref="N18:Q18"/>
    <mergeCell ref="N4:Q4"/>
    <mergeCell ref="B4:E4"/>
    <mergeCell ref="B18:E18"/>
    <mergeCell ref="B3:Q3"/>
    <mergeCell ref="F4:I4"/>
    <mergeCell ref="J4:M4"/>
    <mergeCell ref="B17:Q17"/>
  </mergeCells>
  <pageMargins left="0.7" right="0.7" top="0.75" bottom="0.75" header="0.3" footer="0.3"/>
  <pageSetup paperSize="9" scale="60" fitToHeight="0" orientation="landscape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Copertina</vt:lpstr>
      <vt:lpstr>Ateneo</vt:lpstr>
      <vt:lpstr>Dipartimenti</vt:lpstr>
      <vt:lpstr>CdS</vt:lpstr>
      <vt:lpstr>Grafici CdL</vt:lpstr>
      <vt:lpstr>Grafici CdLM e CdLM ciclo unico</vt:lpstr>
      <vt:lpstr>Strutture</vt:lpstr>
      <vt:lpstr>Organizzazione esami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2023-04-21T08:04:57Z</dcterms:modified>
</cp:coreProperties>
</file>