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5440" windowHeight="15390"/>
  </bookViews>
  <sheets>
    <sheet name="Copertina" sheetId="6" r:id="rId1"/>
    <sheet name="Ateneo" sheetId="1" r:id="rId2"/>
    <sheet name="Dipartimenti" sheetId="4" r:id="rId3"/>
    <sheet name="CdS" sheetId="3" r:id="rId4"/>
    <sheet name="Strutture" sheetId="5" r:id="rId5"/>
    <sheet name="Organizzazione esami" sheetId="7" r:id="rId6"/>
  </sheets>
  <definedNames>
    <definedName name="_xlnm._FilterDatabase" localSheetId="3" hidden="1">CdS!$A$3:$N$83</definedName>
  </definedNames>
  <calcPr calcId="145621"/>
</workbook>
</file>

<file path=xl/calcChain.xml><?xml version="1.0" encoding="utf-8"?>
<calcChain xmlns="http://schemas.openxmlformats.org/spreadsheetml/2006/main">
  <c r="L76" i="3" l="1"/>
  <c r="J76" i="3"/>
  <c r="H76" i="3"/>
  <c r="L75" i="3"/>
  <c r="J75" i="3"/>
  <c r="H75" i="3"/>
  <c r="L74" i="3"/>
  <c r="J74" i="3"/>
  <c r="H74" i="3"/>
  <c r="L73" i="3"/>
  <c r="J73" i="3"/>
  <c r="H73" i="3"/>
  <c r="L72" i="3"/>
  <c r="J72" i="3"/>
  <c r="H72" i="3"/>
  <c r="L71" i="3"/>
  <c r="J71" i="3"/>
  <c r="H71" i="3"/>
  <c r="L70" i="3"/>
  <c r="J70" i="3"/>
  <c r="H70" i="3"/>
  <c r="L69" i="3"/>
  <c r="J69" i="3"/>
  <c r="H69" i="3"/>
  <c r="L66" i="3"/>
  <c r="J66" i="3"/>
  <c r="H66" i="3"/>
  <c r="L65" i="3"/>
  <c r="J65" i="3"/>
  <c r="H65" i="3"/>
  <c r="L64" i="3"/>
  <c r="J64" i="3"/>
  <c r="H64" i="3"/>
  <c r="L63" i="3"/>
  <c r="J63" i="3"/>
  <c r="H63" i="3"/>
  <c r="L62" i="3"/>
  <c r="J62" i="3"/>
  <c r="H62" i="3"/>
  <c r="L61" i="3"/>
  <c r="J61" i="3"/>
  <c r="H61" i="3"/>
  <c r="L60" i="3"/>
  <c r="J60" i="3"/>
  <c r="H60" i="3"/>
  <c r="L59" i="3"/>
  <c r="J59" i="3"/>
  <c r="H59" i="3"/>
  <c r="L58" i="3"/>
  <c r="J58" i="3"/>
  <c r="H58" i="3"/>
  <c r="L57" i="3"/>
  <c r="J57" i="3"/>
  <c r="H57" i="3"/>
  <c r="L54" i="3"/>
  <c r="J54" i="3"/>
  <c r="H54" i="3"/>
  <c r="L53" i="3"/>
  <c r="J53" i="3"/>
  <c r="H53" i="3"/>
  <c r="L52" i="3"/>
  <c r="J52" i="3"/>
  <c r="H52" i="3"/>
  <c r="L51" i="3"/>
  <c r="J51" i="3"/>
  <c r="H51" i="3"/>
  <c r="L50" i="3"/>
  <c r="J50" i="3"/>
  <c r="H50" i="3"/>
  <c r="L49" i="3"/>
  <c r="J49" i="3"/>
  <c r="H49" i="3"/>
  <c r="L48" i="3"/>
  <c r="J48" i="3"/>
  <c r="H48" i="3"/>
  <c r="L47" i="3"/>
  <c r="J47" i="3"/>
  <c r="H47" i="3"/>
  <c r="L46" i="3"/>
  <c r="J46" i="3"/>
  <c r="H46" i="3"/>
  <c r="L45" i="3"/>
  <c r="J45" i="3"/>
  <c r="H45" i="3"/>
  <c r="L44" i="3"/>
  <c r="J44" i="3"/>
  <c r="H44" i="3"/>
  <c r="L43" i="3"/>
  <c r="J43" i="3"/>
  <c r="H43" i="3"/>
  <c r="L80" i="3"/>
  <c r="J80" i="3"/>
  <c r="H80" i="3"/>
  <c r="L79" i="3"/>
  <c r="J79" i="3"/>
  <c r="H79" i="3"/>
  <c r="L78" i="3"/>
  <c r="J78" i="3"/>
  <c r="H78" i="3"/>
  <c r="L77" i="3"/>
  <c r="J77" i="3"/>
  <c r="H77" i="3"/>
  <c r="K32" i="3"/>
  <c r="I32" i="3"/>
  <c r="G32" i="3"/>
  <c r="L35" i="3"/>
  <c r="J35" i="3"/>
  <c r="H35" i="3"/>
  <c r="L34" i="3"/>
  <c r="J34" i="3"/>
  <c r="H34" i="3"/>
  <c r="L33" i="3"/>
  <c r="J33" i="3"/>
  <c r="H33" i="3"/>
  <c r="L32" i="3"/>
  <c r="J32" i="3"/>
  <c r="H32" i="3"/>
  <c r="L31" i="3"/>
  <c r="J31" i="3"/>
  <c r="H31" i="3"/>
  <c r="L30" i="3"/>
  <c r="J30" i="3"/>
  <c r="H30" i="3"/>
  <c r="L29" i="3"/>
  <c r="J29" i="3"/>
  <c r="H29" i="3"/>
  <c r="L26" i="3"/>
  <c r="J26" i="3"/>
  <c r="H26" i="3"/>
  <c r="L25" i="3"/>
  <c r="J25" i="3"/>
  <c r="H25" i="3"/>
  <c r="L24" i="3"/>
  <c r="J24" i="3"/>
  <c r="H24" i="3"/>
  <c r="L23" i="3"/>
  <c r="J23" i="3"/>
  <c r="H23" i="3"/>
  <c r="L22" i="3"/>
  <c r="J22" i="3"/>
  <c r="H22" i="3"/>
  <c r="L19" i="3"/>
  <c r="J19" i="3"/>
  <c r="H19" i="3"/>
  <c r="L17" i="3"/>
  <c r="J17" i="3"/>
  <c r="H17" i="3"/>
  <c r="L16" i="3"/>
  <c r="J16" i="3"/>
  <c r="H16" i="3"/>
  <c r="L13" i="3"/>
  <c r="J13" i="3"/>
  <c r="H13" i="3"/>
  <c r="L21" i="3"/>
  <c r="J21" i="3"/>
  <c r="H21" i="3"/>
  <c r="H12" i="3"/>
  <c r="L12" i="3"/>
  <c r="J12" i="3"/>
  <c r="J20" i="3"/>
  <c r="J18" i="3"/>
  <c r="J10" i="3"/>
  <c r="L20" i="3"/>
  <c r="L18" i="3"/>
  <c r="H20" i="3"/>
  <c r="H18" i="3"/>
  <c r="L10" i="3"/>
  <c r="H10" i="3"/>
  <c r="L9" i="3"/>
  <c r="J9" i="3"/>
  <c r="H9" i="3"/>
  <c r="L8" i="3"/>
  <c r="J8" i="3"/>
  <c r="H8" i="3"/>
  <c r="L40" i="3"/>
  <c r="L39" i="3"/>
  <c r="L38" i="3"/>
  <c r="L11" i="3"/>
  <c r="J40" i="3"/>
  <c r="J39" i="3"/>
  <c r="J38" i="3"/>
  <c r="J11" i="3"/>
  <c r="H40" i="3"/>
  <c r="H39" i="3"/>
  <c r="H38" i="3"/>
  <c r="H11" i="3"/>
  <c r="L7" i="3"/>
  <c r="J7" i="3"/>
  <c r="H7" i="3"/>
  <c r="L6" i="3"/>
  <c r="J6" i="3"/>
  <c r="H6" i="3"/>
  <c r="L5" i="3"/>
  <c r="J5" i="3"/>
  <c r="H5" i="3"/>
  <c r="K75" i="3"/>
  <c r="I75" i="3"/>
  <c r="G75" i="3"/>
  <c r="K74" i="3"/>
  <c r="I74" i="3"/>
  <c r="G74" i="3"/>
  <c r="K76" i="3"/>
  <c r="I76" i="3"/>
  <c r="G76" i="3"/>
  <c r="K73" i="3"/>
  <c r="I73" i="3"/>
  <c r="G73" i="3"/>
  <c r="K72" i="3"/>
  <c r="I72" i="3"/>
  <c r="G72" i="3"/>
  <c r="K71" i="3"/>
  <c r="I71" i="3"/>
  <c r="G71" i="3"/>
  <c r="K70" i="3"/>
  <c r="I70" i="3"/>
  <c r="G70" i="3"/>
  <c r="K69" i="3"/>
  <c r="I69" i="3"/>
  <c r="G69" i="3"/>
  <c r="G66" i="3"/>
  <c r="I66" i="3"/>
  <c r="K66" i="3"/>
  <c r="K65" i="3"/>
  <c r="I65" i="3"/>
  <c r="G65" i="3"/>
  <c r="K64" i="3"/>
  <c r="I64" i="3"/>
  <c r="G64" i="3"/>
  <c r="K63" i="3"/>
  <c r="I63" i="3"/>
  <c r="G63" i="3"/>
  <c r="K61" i="3"/>
  <c r="I61" i="3"/>
  <c r="G61" i="3"/>
  <c r="K60" i="3"/>
  <c r="I60" i="3"/>
  <c r="G60" i="3"/>
  <c r="K59" i="3"/>
  <c r="I59" i="3"/>
  <c r="G59" i="3"/>
  <c r="K58" i="3"/>
  <c r="I58" i="3"/>
  <c r="G58" i="3"/>
  <c r="K57" i="3"/>
  <c r="I57" i="3"/>
  <c r="G57" i="3"/>
  <c r="K54" i="3"/>
  <c r="I54" i="3"/>
  <c r="G54" i="3"/>
  <c r="K52" i="3"/>
  <c r="I52" i="3"/>
  <c r="G52" i="3"/>
  <c r="K51" i="3"/>
  <c r="I51" i="3"/>
  <c r="G51" i="3"/>
  <c r="K62" i="3"/>
  <c r="K50" i="3"/>
  <c r="I62" i="3"/>
  <c r="I50" i="3"/>
  <c r="G62" i="3"/>
  <c r="G50" i="3"/>
  <c r="K49" i="3"/>
  <c r="I49" i="3"/>
  <c r="G49" i="3"/>
  <c r="K48" i="3"/>
  <c r="I48" i="3"/>
  <c r="G48" i="3"/>
  <c r="K47" i="3"/>
  <c r="K46" i="3"/>
  <c r="I47" i="3"/>
  <c r="I46" i="3"/>
  <c r="G47" i="3"/>
  <c r="G46" i="3"/>
  <c r="K45" i="3"/>
  <c r="I45" i="3"/>
  <c r="G45" i="3"/>
  <c r="I33" i="3"/>
  <c r="K44" i="3" l="1"/>
  <c r="I44" i="3"/>
  <c r="G44" i="3"/>
  <c r="K43" i="3"/>
  <c r="I43" i="3"/>
  <c r="G43" i="3"/>
  <c r="K80" i="3"/>
  <c r="I80" i="3"/>
  <c r="G80" i="3"/>
  <c r="K79" i="3"/>
  <c r="I79" i="3"/>
  <c r="G79" i="3"/>
  <c r="K78" i="3"/>
  <c r="K77" i="3"/>
  <c r="I78" i="3"/>
  <c r="I77" i="3"/>
  <c r="G78" i="3"/>
  <c r="G77" i="3"/>
  <c r="K30" i="3"/>
  <c r="I30" i="3"/>
  <c r="G30" i="3"/>
  <c r="K29" i="3"/>
  <c r="I29" i="3"/>
  <c r="G29" i="3"/>
  <c r="K26" i="3"/>
  <c r="I26" i="3"/>
  <c r="G26" i="3"/>
  <c r="K25" i="3"/>
  <c r="I25" i="3"/>
  <c r="G25" i="3"/>
  <c r="K23" i="3"/>
  <c r="I23" i="3"/>
  <c r="G23" i="3"/>
  <c r="K22" i="3"/>
  <c r="I22" i="3"/>
  <c r="G22" i="3"/>
  <c r="K19" i="3"/>
  <c r="I19" i="3"/>
  <c r="G19" i="3"/>
  <c r="K16" i="3"/>
  <c r="K13" i="3"/>
  <c r="I16" i="3"/>
  <c r="I13" i="3"/>
  <c r="G16" i="3"/>
  <c r="G13" i="3"/>
  <c r="K9" i="3"/>
  <c r="I9" i="3"/>
  <c r="G9" i="3"/>
  <c r="K8" i="3"/>
  <c r="I8" i="3"/>
  <c r="G8" i="3"/>
  <c r="K6" i="3"/>
  <c r="I6" i="3"/>
  <c r="G6" i="3"/>
  <c r="K5" i="3"/>
  <c r="I5" i="3"/>
  <c r="G5" i="3"/>
  <c r="K31" i="3"/>
  <c r="I31" i="3"/>
  <c r="G31" i="3"/>
  <c r="K24" i="3"/>
  <c r="I24" i="3"/>
  <c r="G24" i="3"/>
  <c r="K17" i="3" l="1"/>
  <c r="I17" i="3"/>
  <c r="G17" i="3"/>
  <c r="K34" i="3"/>
  <c r="I34" i="3"/>
  <c r="G34" i="3"/>
  <c r="K33" i="3"/>
  <c r="G33" i="3"/>
  <c r="K35" i="3"/>
  <c r="I35" i="3"/>
  <c r="G35" i="3"/>
  <c r="K40" i="3"/>
  <c r="K39" i="3"/>
  <c r="K38" i="3"/>
  <c r="K11" i="3"/>
  <c r="K7" i="3"/>
  <c r="I40" i="3"/>
  <c r="I39" i="3"/>
  <c r="I38" i="3"/>
  <c r="I11" i="3"/>
  <c r="I7" i="3"/>
  <c r="G40" i="3"/>
  <c r="G39" i="3"/>
  <c r="G38" i="3"/>
  <c r="G11" i="3"/>
  <c r="G7" i="3"/>
  <c r="K18" i="3"/>
  <c r="K10" i="3"/>
  <c r="I18" i="3"/>
  <c r="I10" i="3"/>
  <c r="G18" i="3"/>
  <c r="G10" i="3"/>
  <c r="K21" i="3"/>
  <c r="K12" i="3"/>
  <c r="I21" i="3"/>
  <c r="I12" i="3"/>
  <c r="G21" i="3"/>
  <c r="G12" i="3"/>
  <c r="D18" i="4" l="1"/>
  <c r="D17" i="4"/>
  <c r="D16" i="4"/>
  <c r="D15" i="4"/>
  <c r="D14" i="4"/>
  <c r="C18" i="4"/>
  <c r="C17" i="4"/>
  <c r="C16" i="4"/>
  <c r="C15" i="4"/>
  <c r="C14" i="4"/>
  <c r="B18" i="4"/>
  <c r="B17" i="4"/>
  <c r="B16" i="4"/>
  <c r="B15" i="4"/>
  <c r="B14" i="4"/>
  <c r="C13" i="4"/>
  <c r="C12" i="4"/>
  <c r="C10" i="4"/>
  <c r="C9" i="4"/>
  <c r="C8" i="4"/>
  <c r="B13" i="4"/>
  <c r="B12" i="4"/>
  <c r="B10" i="4"/>
  <c r="B9" i="4"/>
  <c r="B8" i="4"/>
  <c r="D13" i="4"/>
  <c r="D12" i="4"/>
  <c r="D10" i="4"/>
  <c r="D9" i="4"/>
  <c r="D8" i="4"/>
  <c r="D11" i="4"/>
  <c r="D7" i="4"/>
  <c r="D6" i="4"/>
  <c r="D5" i="4"/>
  <c r="D4" i="4"/>
  <c r="C11" i="4"/>
  <c r="C7" i="4"/>
  <c r="C6" i="4"/>
  <c r="C5" i="4"/>
  <c r="C4" i="4"/>
  <c r="B11" i="4"/>
  <c r="B7" i="4"/>
  <c r="B6" i="4"/>
  <c r="B5" i="4"/>
  <c r="B4" i="4"/>
  <c r="J25" i="1"/>
  <c r="J24" i="1"/>
  <c r="J23" i="1"/>
  <c r="H25" i="1"/>
  <c r="H24" i="1"/>
  <c r="H23" i="1"/>
  <c r="F25" i="1"/>
  <c r="F24" i="1"/>
  <c r="F23" i="1"/>
  <c r="K25" i="1"/>
  <c r="K24" i="1"/>
  <c r="K23" i="1"/>
  <c r="I25" i="1"/>
  <c r="I24" i="1"/>
  <c r="I23" i="1"/>
  <c r="G24" i="1"/>
  <c r="G25" i="1"/>
  <c r="G23" i="1"/>
  <c r="N81" i="3"/>
  <c r="M81" i="3"/>
  <c r="L81" i="3"/>
  <c r="K81" i="3"/>
  <c r="J81" i="3"/>
  <c r="I81" i="3"/>
  <c r="H81" i="3"/>
  <c r="G81" i="3"/>
  <c r="D19" i="4"/>
  <c r="C19" i="4"/>
  <c r="B19" i="4"/>
  <c r="J26" i="1"/>
  <c r="H26" i="1"/>
  <c r="F26" i="1"/>
  <c r="D20" i="4"/>
  <c r="C20" i="4"/>
  <c r="B20" i="4"/>
  <c r="K26" i="1"/>
  <c r="I26" i="1"/>
  <c r="G26" i="1"/>
  <c r="G19" i="4" l="1"/>
  <c r="F19" i="4"/>
  <c r="E19" i="4"/>
  <c r="F20" i="4"/>
  <c r="E20" i="4"/>
  <c r="G18" i="4"/>
  <c r="F18" i="4"/>
  <c r="E18" i="4"/>
  <c r="G17" i="4"/>
  <c r="F17" i="4"/>
  <c r="E17" i="4"/>
  <c r="G16" i="4"/>
  <c r="F16" i="4"/>
  <c r="E16" i="4"/>
  <c r="G15" i="4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G8" i="4"/>
  <c r="F8" i="4"/>
  <c r="E8" i="4"/>
  <c r="G7" i="4"/>
  <c r="F7" i="4"/>
  <c r="E7" i="4"/>
  <c r="H6" i="4"/>
  <c r="G6" i="4"/>
  <c r="F6" i="4"/>
  <c r="E6" i="4"/>
  <c r="G5" i="4"/>
  <c r="F5" i="4"/>
  <c r="E5" i="4"/>
  <c r="G4" i="4"/>
  <c r="F4" i="4"/>
  <c r="E4" i="4"/>
  <c r="J18" i="4" l="1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J5" i="4"/>
  <c r="I5" i="4"/>
  <c r="H5" i="4"/>
  <c r="J4" i="4"/>
  <c r="I4" i="4"/>
  <c r="H4" i="4"/>
</calcChain>
</file>

<file path=xl/sharedStrings.xml><?xml version="1.0" encoding="utf-8"?>
<sst xmlns="http://schemas.openxmlformats.org/spreadsheetml/2006/main" count="536" uniqueCount="205">
  <si>
    <t>Tipologia di laurea</t>
  </si>
  <si>
    <t>Numero laureati</t>
  </si>
  <si>
    <t>% femmine</t>
  </si>
  <si>
    <t>% cittadinanza straniera</t>
  </si>
  <si>
    <t>Unisi</t>
  </si>
  <si>
    <t>Nazionale</t>
  </si>
  <si>
    <t>Tutti i tipi di CdS</t>
  </si>
  <si>
    <t>% residenti altra regione</t>
  </si>
  <si>
    <t>% laureati in corso</t>
  </si>
  <si>
    <t xml:space="preserve">Tutti i tipi di CdS </t>
  </si>
  <si>
    <t xml:space="preserve">Età media alla laurea </t>
  </si>
  <si>
    <t>Voto medio di laurea</t>
  </si>
  <si>
    <t>CdS per tipologia</t>
  </si>
  <si>
    <t>Corsi di Laurea  triennali</t>
  </si>
  <si>
    <t xml:space="preserve">Corsi di Laurea magistrale (biennali) </t>
  </si>
  <si>
    <t>Corsi di Laurea magistrale  a Ciclo unico</t>
  </si>
  <si>
    <t>Tasso di risposta (%)</t>
  </si>
  <si>
    <t>Sono complessivamente soddisfatti del CdS (%)</t>
  </si>
  <si>
    <t>Sono soddisfatti dei rapporti con i docenti in generale (%)</t>
  </si>
  <si>
    <t>Ritengono che il carico di studio degli insegnamenti sia stato sostenibile (%)</t>
  </si>
  <si>
    <t>Italia</t>
  </si>
  <si>
    <t>Si iscriverebbero di nuovo all'Università? (%)</t>
  </si>
  <si>
    <t>sì, allo stesso corso dell'Ateneo</t>
  </si>
  <si>
    <t>sì, ma ad un altro corso dell'Ateneo</t>
  </si>
  <si>
    <t>sì, allo stesso corso ma in un altro Ateneo</t>
  </si>
  <si>
    <t>sì, ma ad un altro corso in un altro Ateneo</t>
  </si>
  <si>
    <t>non si iscriverebbero più all'università</t>
  </si>
  <si>
    <t>Tab 4 Percentuali di risposta alla domanda "Si iscriverebbe di nuovo all'Università?" per anno di laurea confrontate con valore nazionale per tipologia di CdS</t>
  </si>
  <si>
    <t>Hanno svolto periodi di studio all'estero durante il CdS (%)</t>
  </si>
  <si>
    <t>di cui con Erasmus o altro programma dell'Unione Europea (%)</t>
  </si>
  <si>
    <t>Dipartimento</t>
  </si>
  <si>
    <t>Biotecnologie mediche</t>
  </si>
  <si>
    <t>Economia politica e Statistica</t>
  </si>
  <si>
    <t>Giurisprudenza</t>
  </si>
  <si>
    <t>Ingegneria dell’Informazione e Scienze matematiche</t>
  </si>
  <si>
    <t>Scienze della Vita</t>
  </si>
  <si>
    <t>Scienze mediche, chirurgiche e Neuroscienze</t>
  </si>
  <si>
    <t>Scienze storiche e dei Beni culturali</t>
  </si>
  <si>
    <t>Studi aziendali e giuridici</t>
  </si>
  <si>
    <t>Ateneo</t>
  </si>
  <si>
    <t>Biotecnologie, Chimica e Farmacia</t>
  </si>
  <si>
    <t>Scienze fisiche, della Terra e dell'Ambiente</t>
  </si>
  <si>
    <t>Scienze politiche e internazionali</t>
  </si>
  <si>
    <t>Scienze sociali, politiche e cognitive</t>
  </si>
  <si>
    <t>Medicina molecolare e dello Sviluppo</t>
  </si>
  <si>
    <t>Filologia e Critica delle Letterature antiche e moderne</t>
  </si>
  <si>
    <t>Scienze della Formazione, Scienze umane e della Comunicazione interculturale</t>
  </si>
  <si>
    <t>Sono complessivamente soddisfatti del CdL/CdLM (%)</t>
  </si>
  <si>
    <t>Nucleo di Valutazione Università degli Studi di Siena</t>
  </si>
  <si>
    <t>CdS</t>
  </si>
  <si>
    <t>Classe</t>
  </si>
  <si>
    <t>Si iscriverebbero di nuovo allo stesso Corso dello stesso Ateneo (%)</t>
  </si>
  <si>
    <t>Biotecnologie</t>
  </si>
  <si>
    <t>L-2</t>
  </si>
  <si>
    <t>L-14</t>
  </si>
  <si>
    <t>Dietistica (Abilitante alla Professione sanitaria di Dietista)</t>
  </si>
  <si>
    <t>L/SNT3</t>
  </si>
  <si>
    <t>Economia e Commercio</t>
  </si>
  <si>
    <t>L-18</t>
  </si>
  <si>
    <t>L-30</t>
  </si>
  <si>
    <t>Fisioterapia (Abilitante alla Professione sanitaria di Fisioterapista)</t>
  </si>
  <si>
    <t>L/SNT2</t>
  </si>
  <si>
    <t>L-34</t>
  </si>
  <si>
    <t>Igiene Dentale (Abilitante alla Professione sanitaria di Igienista dentale)</t>
  </si>
  <si>
    <t>Infermieristica (Abilitante alla Professione sanitaria di Infermiere)</t>
  </si>
  <si>
    <t>L/SNT1</t>
  </si>
  <si>
    <t>Ingegneria gestionale</t>
  </si>
  <si>
    <t>L-8</t>
  </si>
  <si>
    <t>Ingegneria informatica e dell'Informazione</t>
  </si>
  <si>
    <t>Lingue per la Comunicazione interculturale e d'Impresa</t>
  </si>
  <si>
    <t>L-11</t>
  </si>
  <si>
    <t>Logopedia (Abilitante alla Professione sanitaria di Logopedista)</t>
  </si>
  <si>
    <t>Matematica</t>
  </si>
  <si>
    <t>L-35</t>
  </si>
  <si>
    <t>Ortottica ed Assistenza oftalmologica (Abilitante alla Professione sanitaria di Ortottista ed Assistente di Oftalmologia)</t>
  </si>
  <si>
    <t>Ostetricia (Abilitante alla Professione Sanitaria di Ostetrica/o)</t>
  </si>
  <si>
    <t>Scienze ambientali e naturali</t>
  </si>
  <si>
    <t>L-32</t>
  </si>
  <si>
    <t>Scienze biologiche</t>
  </si>
  <si>
    <t>L-13</t>
  </si>
  <si>
    <t>Scienze chimiche</t>
  </si>
  <si>
    <t>L-27</t>
  </si>
  <si>
    <t>Scienze del Servizio sociale</t>
  </si>
  <si>
    <t>L-39</t>
  </si>
  <si>
    <t>Scienze della Comunicazione</t>
  </si>
  <si>
    <t>L-20</t>
  </si>
  <si>
    <t>Scienze dell'Educazione e della Formazione</t>
  </si>
  <si>
    <t>L-19</t>
  </si>
  <si>
    <t>Scienze economiche e bancarie</t>
  </si>
  <si>
    <t>L-33</t>
  </si>
  <si>
    <t>Scienze politiche</t>
  </si>
  <si>
    <t>L-36</t>
  </si>
  <si>
    <t>Scienze storiche e del Patrimonio culturale</t>
  </si>
  <si>
    <t>L-1</t>
  </si>
  <si>
    <t>Studi letterari e filosofici</t>
  </si>
  <si>
    <t>L-10</t>
  </si>
  <si>
    <t>Tecniche della Prevenzione nell'Ambiente e nei Luoghi di Lavoro (Abilitante alla Professione sanitaria di Tecnico della Prevenzione nell'Ambiente e nei Luoghi di Lavoro)</t>
  </si>
  <si>
    <t>L/SNT4</t>
  </si>
  <si>
    <t>Tecniche di Laboratorio Biomedico (Abilitante alla Professione sanitaria di Tecnico di Laboratorio biomedico)</t>
  </si>
  <si>
    <t>Antropologia e Linguaggi dell'Immagine</t>
  </si>
  <si>
    <t>LM-1</t>
  </si>
  <si>
    <t>Archeologia</t>
  </si>
  <si>
    <t>LM-2</t>
  </si>
  <si>
    <t>LM-6</t>
  </si>
  <si>
    <t>Biologia sanitaria</t>
  </si>
  <si>
    <t>Chemistry-Chimica</t>
  </si>
  <si>
    <t>LM-54</t>
  </si>
  <si>
    <t>Computer And Automation Engineering – Ingegneria Informatica e dell’Automazione</t>
  </si>
  <si>
    <t>LM-32</t>
  </si>
  <si>
    <t>Economia e Gestione degli Intermediari finanziari</t>
  </si>
  <si>
    <t>LM-77</t>
  </si>
  <si>
    <t>Economia/Economics</t>
  </si>
  <si>
    <t>LM-56</t>
  </si>
  <si>
    <t>Ecotossicologia e Sostenibilità ambientale</t>
  </si>
  <si>
    <t>LM-75</t>
  </si>
  <si>
    <t>Electronics And communications Engineering - Ingegneria elettronica e delle Telecomunicazioni</t>
  </si>
  <si>
    <t>LM-27</t>
  </si>
  <si>
    <t>Finance - Finanza</t>
  </si>
  <si>
    <t>LM-16</t>
  </si>
  <si>
    <t>LM-74</t>
  </si>
  <si>
    <t>LM-31</t>
  </si>
  <si>
    <t xml:space="preserve">Languange and Mind: Linguistics and cognitive Studies - Mente e Linguaggio: linguistica e Studi cognitivi </t>
  </si>
  <si>
    <t>LM-39</t>
  </si>
  <si>
    <t>Lettere classiche</t>
  </si>
  <si>
    <t>LM-15</t>
  </si>
  <si>
    <t>Lettere moderne</t>
  </si>
  <si>
    <t>LM-14</t>
  </si>
  <si>
    <t>Management e Governance</t>
  </si>
  <si>
    <t>LM-40</t>
  </si>
  <si>
    <t>Medical Biotechnologies - Biotecnologie mediche</t>
  </si>
  <si>
    <t>LM-9</t>
  </si>
  <si>
    <t>LM-63</t>
  </si>
  <si>
    <t>Scienze infermieristiche e ostetriche</t>
  </si>
  <si>
    <t>LM/SNT1</t>
  </si>
  <si>
    <t>Scienze internazionali</t>
  </si>
  <si>
    <t>LM-52</t>
  </si>
  <si>
    <t>Scienze per la Formazione e la Consulenza pedagogica nelle Organizzazioni</t>
  </si>
  <si>
    <t>LM-85</t>
  </si>
  <si>
    <t>Scienze riabilitative delle Professioni sanitarie</t>
  </si>
  <si>
    <t>LM/SNT2</t>
  </si>
  <si>
    <t>Scienze statistiche per le Indagini campionarie</t>
  </si>
  <si>
    <t>LM-82</t>
  </si>
  <si>
    <t>Storia dell'Arte</t>
  </si>
  <si>
    <t>LM-89</t>
  </si>
  <si>
    <t>LM-92</t>
  </si>
  <si>
    <t>Chimica e Tecnologia farmaceutica</t>
  </si>
  <si>
    <t>LM-13</t>
  </si>
  <si>
    <t>Farmacia</t>
  </si>
  <si>
    <t>LMG/01</t>
  </si>
  <si>
    <t>Medicina e Chirurgia</t>
  </si>
  <si>
    <t>LM-41</t>
  </si>
  <si>
    <t>Laureati 2017</t>
  </si>
  <si>
    <t>Scienze geologiche</t>
  </si>
  <si>
    <t>Biologia</t>
  </si>
  <si>
    <t>Tecniche di Radiologia medica, per Immagini e Radioterapia (Abilitante alla Professione sanitaria di Tecnico di Radiologia medica)</t>
  </si>
  <si>
    <t xml:space="preserve">Applied Mathematics-Matematica applicata </t>
  </si>
  <si>
    <t>Laureati 2018</t>
  </si>
  <si>
    <t xml:space="preserve">Hanno 1 o più esami all'estero convalidati (per 100 che hanno svolto esperienze di studio all'estero riconosciute dal CdS) </t>
  </si>
  <si>
    <t>Valutazione delle aule (per 100 fruitori)</t>
  </si>
  <si>
    <t>Sempre o quasi sempre adeguate</t>
  </si>
  <si>
    <t xml:space="preserve">Spesso adeguate </t>
  </si>
  <si>
    <t xml:space="preserve">Sempre o quasi sempre adeguate </t>
  </si>
  <si>
    <t>Valutazione delle postazioni informatiche (per 100 fruitori)</t>
  </si>
  <si>
    <t>In numero adeguato</t>
  </si>
  <si>
    <t xml:space="preserve">In numero inadeguato </t>
  </si>
  <si>
    <t>Valutazione dei servizi di biblioteca (per 100 fruitori)</t>
  </si>
  <si>
    <t xml:space="preserve">Decisamente positiva </t>
  </si>
  <si>
    <t xml:space="preserve">Abbastanza positiva </t>
  </si>
  <si>
    <t>Decisamente positiva</t>
  </si>
  <si>
    <t>Valutazione delle attrezzature per le altre attività didattiche (laboratori, attività pratiche, …) (per 100 fruitori)</t>
  </si>
  <si>
    <t>Hanno ritenuto l'organizzazione degli esami (appelli, orari, informazioni, prenotazioni, ...) soddisfacente (%)</t>
  </si>
  <si>
    <t>Sempre o quasi sempre</t>
  </si>
  <si>
    <t>Per più della metà degli esami</t>
  </si>
  <si>
    <t>Per meno della metà degli esami</t>
  </si>
  <si>
    <t>Quasi mai</t>
  </si>
  <si>
    <t>Fisica e Tecnologie avanzate</t>
  </si>
  <si>
    <t>Geoscienze e Geologia applicata</t>
  </si>
  <si>
    <t>LM-81</t>
  </si>
  <si>
    <t>Scienze delle Amministrazioni</t>
  </si>
  <si>
    <t>LM-84</t>
  </si>
  <si>
    <t xml:space="preserve">LM-78 </t>
  </si>
  <si>
    <t>Storia e Filosofia (interclasse)</t>
  </si>
  <si>
    <t>Relazione annuale 2021 dei Nuclei di Valutazione interna (D. Lgs. 19/2012, art. 12 e art. 14)</t>
  </si>
  <si>
    <t xml:space="preserve">Tabella 1: Profilo laureati anno solare 2019 per tipologia di laurea </t>
  </si>
  <si>
    <t>Tabella 2: Andamento laureati anno solare 2019 per tipologia di laurea</t>
  </si>
  <si>
    <t>Tab 3: Tasso di risposta al questionario Profilo Laureati 2019 AlmaLaurea e percentuali di giudizi positivi (decisamente sì + più sì che no) ad alcuni quesiti confrontati con valore nazionale per tipologia di CdS</t>
  </si>
  <si>
    <t>Numero laureati 2019 (?)</t>
  </si>
  <si>
    <t>Tabella 5: Adesione a programmi di mobilità internazionale laureati triennio 2017 - 2019 per tipologia di laurea</t>
  </si>
  <si>
    <t>Laureati 2019</t>
  </si>
  <si>
    <t>Tabella 6: Percentuali di giudizi positivi (decisamente sì + più sì che no) ad alcuni quesiti laureati triennio 2017-2019 per Dipartimento</t>
  </si>
  <si>
    <t xml:space="preserve">Tabella 7: Tasso di risposta al questionario Profilo Laureati AlmaLaurea laureati 2019 e percentuali di giudizi positivi (decisamente sì + più sì che no) ad alcuni quesiti per Corso di Studio, confrontati con il valore nazionale della classe </t>
  </si>
  <si>
    <t>Numero laureati 2019</t>
  </si>
  <si>
    <t>Tabella 8: Valutazione delle strutture dell'Ateneo e confronto con valore nazionale laureati triennio 2017-2019</t>
  </si>
  <si>
    <t>Tabella 9: Valutazione dell'organizzazione degli esami per Dipartimento laureati Unisi triennio 2017-2019</t>
  </si>
  <si>
    <t>Pubblic and cultural Diplomacy - Diplomazia pubblica e culturale</t>
  </si>
  <si>
    <t>76,7+</t>
  </si>
  <si>
    <t>Hanno ritenuto che il carico di studio degli insegnamenti sia stato sostenibile (%)</t>
  </si>
  <si>
    <t>*</t>
  </si>
  <si>
    <t>* I dati non vengono visualizzati per collettivi con meno di 5 laureati</t>
  </si>
  <si>
    <t>Servizi giuridici</t>
  </si>
  <si>
    <t>Strategie e Tecniche della Comunicazione</t>
  </si>
  <si>
    <t>Tecniche di Fisiopatologia Cardiocircolatoria e Perfusione cardiovascolare (Abilitante alla Professione sanitaria di Tecnico di Fisiopatologia cardiocircolatoria e Perfusione cardiovascolare)</t>
  </si>
  <si>
    <t xml:space="preserve"> Engineering management </t>
  </si>
  <si>
    <t>Fonte: AlmaLaurea</t>
  </si>
  <si>
    <t>Allegato statistico rilevazione opinione dei laureandi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</si>
</sst>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/>
  </cellStyleXfs>
  <cellXfs count="254">
    <xf numFmtId="0" fontId="0" fillId="0" borderId="0" xfId="0"/>
    <xf numFmtId="0" fontId="0" fillId="0" borderId="0" xfId="0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8" xfId="0" applyNumberFormat="1" applyFont="1" applyBorder="1" applyAlignment="1">
      <alignment horizontal="right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right"/>
    </xf>
    <xf numFmtId="164" fontId="0" fillId="0" borderId="0" xfId="0" applyNumberFormat="1" applyBorder="1"/>
    <xf numFmtId="0" fontId="0" fillId="0" borderId="7" xfId="0" applyBorder="1"/>
    <xf numFmtId="0" fontId="0" fillId="0" borderId="15" xfId="0" applyBorder="1"/>
    <xf numFmtId="0" fontId="0" fillId="0" borderId="6" xfId="0" applyBorder="1"/>
    <xf numFmtId="0" fontId="1" fillId="0" borderId="0" xfId="0" applyFont="1" applyBorder="1" applyAlignment="1">
      <alignment horizontal="right"/>
    </xf>
    <xf numFmtId="0" fontId="0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0" fillId="0" borderId="11" xfId="0" applyBorder="1"/>
    <xf numFmtId="0" fontId="1" fillId="0" borderId="10" xfId="0" applyFont="1" applyBorder="1" applyAlignment="1">
      <alignment horizontal="center" vertical="center" wrapText="1"/>
    </xf>
    <xf numFmtId="0" fontId="0" fillId="0" borderId="14" xfId="0" applyBorder="1"/>
    <xf numFmtId="164" fontId="1" fillId="0" borderId="8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2" xfId="0" applyFont="1" applyBorder="1"/>
    <xf numFmtId="0" fontId="4" fillId="0" borderId="8" xfId="0" applyFont="1" applyBorder="1" applyAlignment="1">
      <alignment horizontal="center" vertical="center" wrapText="1"/>
    </xf>
    <xf numFmtId="0" fontId="0" fillId="0" borderId="14" xfId="0" applyFont="1" applyBorder="1"/>
    <xf numFmtId="0" fontId="0" fillId="0" borderId="15" xfId="0" applyFont="1" applyBorder="1"/>
    <xf numFmtId="0" fontId="0" fillId="0" borderId="13" xfId="0" applyFont="1" applyBorder="1"/>
    <xf numFmtId="0" fontId="0" fillId="0" borderId="6" xfId="0" applyFont="1" applyBorder="1"/>
    <xf numFmtId="0" fontId="4" fillId="0" borderId="1" xfId="0" applyFont="1" applyFill="1" applyBorder="1" applyAlignment="1">
      <alignment wrapText="1"/>
    </xf>
    <xf numFmtId="0" fontId="0" fillId="0" borderId="1" xfId="0" applyFill="1" applyBorder="1"/>
    <xf numFmtId="0" fontId="1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Fill="1"/>
    <xf numFmtId="164" fontId="1" fillId="0" borderId="10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164" fontId="0" fillId="0" borderId="6" xfId="0" applyNumberFormat="1" applyBorder="1"/>
    <xf numFmtId="164" fontId="0" fillId="0" borderId="15" xfId="0" applyNumberFormat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164" fontId="0" fillId="0" borderId="13" xfId="0" applyNumberFormat="1" applyFont="1" applyBorder="1"/>
    <xf numFmtId="164" fontId="0" fillId="0" borderId="6" xfId="0" applyNumberFormat="1" applyFont="1" applyBorder="1"/>
    <xf numFmtId="164" fontId="0" fillId="0" borderId="14" xfId="0" applyNumberFormat="1" applyFont="1" applyBorder="1"/>
    <xf numFmtId="164" fontId="0" fillId="0" borderId="15" xfId="0" applyNumberFormat="1" applyFont="1" applyBorder="1"/>
    <xf numFmtId="164" fontId="0" fillId="0" borderId="11" xfId="0" applyNumberFormat="1" applyFont="1" applyBorder="1"/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Fill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64" fontId="1" fillId="0" borderId="8" xfId="0" applyNumberFormat="1" applyFont="1" applyFill="1" applyBorder="1" applyAlignment="1">
      <alignment horizontal="right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4" fontId="4" fillId="0" borderId="10" xfId="0" applyNumberFormat="1" applyFont="1" applyFill="1" applyBorder="1" applyAlignment="1"/>
    <xf numFmtId="164" fontId="4" fillId="0" borderId="0" xfId="0" applyNumberFormat="1" applyFont="1"/>
    <xf numFmtId="164" fontId="0" fillId="0" borderId="0" xfId="0" applyNumberFormat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14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0" fillId="0" borderId="11" xfId="0" applyNumberForma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164" fontId="11" fillId="0" borderId="7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4" fillId="0" borderId="10" xfId="0" applyNumberFormat="1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12" xfId="0" applyFill="1" applyBorder="1" applyAlignment="1">
      <alignment horizontal="right" vertical="center"/>
    </xf>
    <xf numFmtId="164" fontId="0" fillId="0" borderId="12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 wrapText="1"/>
    </xf>
    <xf numFmtId="0" fontId="0" fillId="0" borderId="14" xfId="0" applyFill="1" applyBorder="1" applyAlignment="1">
      <alignment horizontal="right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13" xfId="0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0" fontId="0" fillId="0" borderId="13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3" fontId="2" fillId="0" borderId="11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 wrapText="1"/>
    </xf>
    <xf numFmtId="3" fontId="12" fillId="4" borderId="0" xfId="2" applyNumberFormat="1" applyBorder="1" applyAlignment="1">
      <alignment vertical="center"/>
    </xf>
    <xf numFmtId="3" fontId="12" fillId="4" borderId="12" xfId="2" applyNumberFormat="1" applyBorder="1" applyAlignment="1">
      <alignment vertical="center"/>
    </xf>
    <xf numFmtId="164" fontId="12" fillId="4" borderId="0" xfId="2" applyNumberFormat="1" applyBorder="1" applyAlignment="1">
      <alignment vertical="center"/>
    </xf>
    <xf numFmtId="164" fontId="12" fillId="4" borderId="0" xfId="2" applyNumberFormat="1" applyAlignment="1">
      <alignment vertical="center"/>
    </xf>
    <xf numFmtId="164" fontId="12" fillId="4" borderId="12" xfId="2" applyNumberFormat="1" applyBorder="1" applyAlignment="1">
      <alignment vertical="center"/>
    </xf>
    <xf numFmtId="164" fontId="12" fillId="4" borderId="0" xfId="2" applyNumberFormat="1" applyBorder="1" applyAlignment="1">
      <alignment horizontal="right" vertical="center"/>
    </xf>
    <xf numFmtId="164" fontId="12" fillId="4" borderId="7" xfId="2" applyNumberFormat="1" applyBorder="1" applyAlignment="1">
      <alignment horizontal="right" vertical="center"/>
    </xf>
    <xf numFmtId="164" fontId="12" fillId="4" borderId="15" xfId="2" applyNumberFormat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164" fontId="0" fillId="0" borderId="11" xfId="0" applyNumberFormat="1" applyFill="1" applyBorder="1" applyAlignment="1">
      <alignment vertical="center" wrapText="1"/>
    </xf>
    <xf numFmtId="164" fontId="0" fillId="0" borderId="14" xfId="0" applyNumberFormat="1" applyFill="1" applyBorder="1" applyAlignment="1">
      <alignment horizontal="right" vertical="center"/>
    </xf>
    <xf numFmtId="164" fontId="12" fillId="4" borderId="7" xfId="2" applyNumberFormat="1" applyBorder="1" applyAlignment="1">
      <alignment vertical="center"/>
    </xf>
    <xf numFmtId="164" fontId="12" fillId="4" borderId="15" xfId="2" applyNumberFormat="1" applyBorder="1" applyAlignment="1">
      <alignment vertical="center"/>
    </xf>
    <xf numFmtId="164" fontId="3" fillId="0" borderId="8" xfId="0" applyNumberFormat="1" applyFont="1" applyFill="1" applyBorder="1" applyAlignment="1">
      <alignment horizontal="center" vertical="center" wrapText="1"/>
    </xf>
    <xf numFmtId="164" fontId="0" fillId="0" borderId="14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horizontal="right" vertical="center"/>
    </xf>
    <xf numFmtId="164" fontId="3" fillId="0" borderId="9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/>
    <xf numFmtId="164" fontId="4" fillId="0" borderId="8" xfId="0" applyNumberFormat="1" applyFont="1" applyFill="1" applyBorder="1" applyAlignment="1">
      <alignment horizontal="right"/>
    </xf>
    <xf numFmtId="3" fontId="12" fillId="4" borderId="0" xfId="2" applyNumberFormat="1" applyBorder="1" applyAlignment="1">
      <alignment horizontal="right" vertical="center"/>
    </xf>
    <xf numFmtId="164" fontId="12" fillId="4" borderId="6" xfId="2" applyNumberFormat="1" applyBorder="1" applyAlignment="1">
      <alignment horizontal="right" vertical="center"/>
    </xf>
    <xf numFmtId="0" fontId="12" fillId="4" borderId="0" xfId="2" applyBorder="1" applyAlignment="1">
      <alignment horizontal="right" vertical="center"/>
    </xf>
    <xf numFmtId="3" fontId="12" fillId="4" borderId="10" xfId="2" applyNumberFormat="1" applyBorder="1" applyAlignment="1">
      <alignment horizontal="right"/>
    </xf>
    <xf numFmtId="164" fontId="12" fillId="4" borderId="9" xfId="2" applyNumberFormat="1" applyBorder="1" applyAlignment="1">
      <alignment horizontal="right"/>
    </xf>
    <xf numFmtId="164" fontId="12" fillId="4" borderId="10" xfId="2" applyNumberFormat="1" applyBorder="1" applyAlignment="1"/>
    <xf numFmtId="164" fontId="12" fillId="4" borderId="9" xfId="2" applyNumberFormat="1" applyBorder="1" applyAlignment="1"/>
    <xf numFmtId="164" fontId="2" fillId="0" borderId="13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vertical="center"/>
    </xf>
    <xf numFmtId="164" fontId="12" fillId="4" borderId="5" xfId="2" applyNumberFormat="1" applyBorder="1" applyAlignment="1">
      <alignment horizontal="right" vertical="center"/>
    </xf>
    <xf numFmtId="164" fontId="12" fillId="4" borderId="10" xfId="2" applyNumberFormat="1" applyBorder="1" applyAlignment="1">
      <alignment horizontal="right"/>
    </xf>
    <xf numFmtId="0" fontId="12" fillId="4" borderId="0" xfId="2" applyBorder="1" applyAlignment="1">
      <alignment vertical="center"/>
    </xf>
    <xf numFmtId="0" fontId="12" fillId="4" borderId="0" xfId="2" applyAlignment="1">
      <alignment vertical="center"/>
    </xf>
    <xf numFmtId="0" fontId="12" fillId="4" borderId="7" xfId="2" applyBorder="1" applyAlignment="1">
      <alignment vertical="center"/>
    </xf>
    <xf numFmtId="164" fontId="12" fillId="4" borderId="6" xfId="2" applyNumberFormat="1" applyBorder="1" applyAlignment="1">
      <alignment vertical="center"/>
    </xf>
    <xf numFmtId="0" fontId="12" fillId="4" borderId="15" xfId="2" applyBorder="1" applyAlignment="1">
      <alignment vertical="center"/>
    </xf>
    <xf numFmtId="164" fontId="12" fillId="4" borderId="0" xfId="2" applyNumberFormat="1"/>
    <xf numFmtId="164" fontId="12" fillId="4" borderId="15" xfId="2" applyNumberFormat="1" applyBorder="1"/>
    <xf numFmtId="164" fontId="0" fillId="0" borderId="0" xfId="0" quotePrefix="1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11" xfId="0" quotePrefix="1" applyNumberForma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0" fillId="0" borderId="3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3">
    <cellStyle name="20% - Colore 1" xfId="2" builtinId="30"/>
    <cellStyle name="Normale" xfId="0" builtinId="0"/>
    <cellStyle name="Normale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workbookViewId="0">
      <selection activeCell="S14" sqref="S14"/>
    </sheetView>
  </sheetViews>
  <sheetFormatPr defaultRowHeight="15" x14ac:dyDescent="0.25"/>
  <sheetData>
    <row r="1" spans="1:14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21" x14ac:dyDescent="0.25">
      <c r="A7" s="44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ht="15.75" x14ac:dyDescent="0.25">
      <c r="A8" s="45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ht="23.25" x14ac:dyDescent="0.25">
      <c r="A9" s="43"/>
      <c r="B9" s="183" t="s">
        <v>204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43"/>
    </row>
    <row r="10" spans="1:14" ht="21" x14ac:dyDescent="0.25">
      <c r="A10" s="43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3"/>
      <c r="N10" s="43"/>
    </row>
    <row r="11" spans="1:14" ht="18.75" x14ac:dyDescent="0.25">
      <c r="A11" s="43"/>
      <c r="B11" s="184" t="s">
        <v>182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43"/>
    </row>
    <row r="12" spans="1:14" ht="15.75" x14ac:dyDescent="0.25">
      <c r="A12" s="43"/>
      <c r="B12" s="43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3"/>
      <c r="N12" s="43"/>
    </row>
    <row r="13" spans="1:14" ht="15.75" x14ac:dyDescent="0.25">
      <c r="A13" s="43"/>
      <c r="B13" s="43"/>
      <c r="C13" s="185" t="s">
        <v>48</v>
      </c>
      <c r="D13" s="185"/>
      <c r="E13" s="185"/>
      <c r="F13" s="185"/>
      <c r="G13" s="185"/>
      <c r="H13" s="185"/>
      <c r="I13" s="185"/>
      <c r="J13" s="185"/>
      <c r="K13" s="185"/>
      <c r="L13" s="185"/>
      <c r="M13" s="43"/>
      <c r="N13" s="43"/>
    </row>
    <row r="14" spans="1:14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x14ac:dyDescent="0.25">
      <c r="A16" s="46"/>
      <c r="B16" s="46"/>
      <c r="C16" s="46"/>
      <c r="D16" s="46"/>
      <c r="E16" s="46"/>
      <c r="F16" s="43"/>
      <c r="G16" s="43"/>
      <c r="H16" s="43"/>
      <c r="I16" s="43"/>
      <c r="J16" s="43"/>
      <c r="K16" s="43"/>
      <c r="L16" s="43"/>
      <c r="M16" s="43"/>
      <c r="N16" s="43"/>
    </row>
    <row r="17" spans="1:14" x14ac:dyDescent="0.25">
      <c r="A17" s="46"/>
      <c r="B17" s="46"/>
      <c r="C17" s="46"/>
      <c r="D17" s="46"/>
      <c r="E17" s="46"/>
      <c r="F17" s="43"/>
      <c r="G17" s="43"/>
      <c r="H17" s="43"/>
      <c r="I17" s="43"/>
      <c r="J17" s="43"/>
      <c r="K17" s="43"/>
      <c r="L17" s="43"/>
      <c r="M17" s="43"/>
      <c r="N17" s="43"/>
    </row>
    <row r="18" spans="1:14" x14ac:dyDescent="0.25">
      <c r="A18" s="46"/>
      <c r="B18" s="46"/>
      <c r="C18" s="46"/>
      <c r="D18" s="46"/>
      <c r="E18" s="46"/>
      <c r="F18" s="43"/>
      <c r="G18" s="43"/>
      <c r="H18" s="43"/>
      <c r="I18" s="43"/>
      <c r="J18" s="43"/>
      <c r="K18" s="43"/>
      <c r="L18" s="43"/>
      <c r="M18" s="43"/>
      <c r="N18" s="43"/>
    </row>
    <row r="19" spans="1:14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1:14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1:14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1:14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spans="1:14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spans="1:14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1:14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4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</sheetData>
  <mergeCells count="3">
    <mergeCell ref="B9:M9"/>
    <mergeCell ref="B11:M11"/>
    <mergeCell ref="C13:L13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selection activeCell="A23" sqref="A23"/>
    </sheetView>
  </sheetViews>
  <sheetFormatPr defaultRowHeight="15" x14ac:dyDescent="0.25"/>
  <cols>
    <col min="1" max="1" width="16.7109375" customWidth="1"/>
    <col min="7" max="7" width="9.85546875" bestFit="1" customWidth="1"/>
    <col min="8" max="8" width="14.140625" customWidth="1"/>
    <col min="9" max="9" width="9.85546875" bestFit="1" customWidth="1"/>
    <col min="13" max="13" width="10.85546875" customWidth="1"/>
    <col min="19" max="19" width="10" customWidth="1"/>
  </cols>
  <sheetData>
    <row r="1" spans="1:9" x14ac:dyDescent="0.25">
      <c r="A1" s="186" t="s">
        <v>183</v>
      </c>
      <c r="B1" s="186"/>
      <c r="C1" s="186"/>
      <c r="D1" s="186"/>
      <c r="E1" s="186"/>
      <c r="F1" s="186"/>
    </row>
    <row r="2" spans="1:9" s="1" customFormat="1" ht="15" customHeight="1" x14ac:dyDescent="0.25">
      <c r="A2" s="226" t="s">
        <v>0</v>
      </c>
      <c r="B2" s="229" t="s">
        <v>1</v>
      </c>
      <c r="C2" s="229"/>
      <c r="D2" s="211" t="s">
        <v>2</v>
      </c>
      <c r="E2" s="212"/>
      <c r="F2" s="222" t="s">
        <v>7</v>
      </c>
      <c r="G2" s="222"/>
      <c r="H2" s="211" t="s">
        <v>3</v>
      </c>
      <c r="I2" s="212"/>
    </row>
    <row r="3" spans="1:9" s="1" customFormat="1" ht="15" customHeight="1" x14ac:dyDescent="0.25">
      <c r="A3" s="227"/>
      <c r="B3" s="230"/>
      <c r="C3" s="230"/>
      <c r="D3" s="213"/>
      <c r="E3" s="214"/>
      <c r="F3" s="223"/>
      <c r="G3" s="223"/>
      <c r="H3" s="213"/>
      <c r="I3" s="214"/>
    </row>
    <row r="4" spans="1:9" s="1" customFormat="1" x14ac:dyDescent="0.25">
      <c r="A4" s="228"/>
      <c r="B4" s="2" t="s">
        <v>4</v>
      </c>
      <c r="C4" s="4" t="s">
        <v>5</v>
      </c>
      <c r="D4" s="2" t="s">
        <v>4</v>
      </c>
      <c r="E4" s="3" t="s">
        <v>5</v>
      </c>
      <c r="F4" s="4" t="s">
        <v>4</v>
      </c>
      <c r="G4" s="4" t="s">
        <v>5</v>
      </c>
      <c r="H4" s="2" t="s">
        <v>4</v>
      </c>
      <c r="I4" s="3" t="s">
        <v>5</v>
      </c>
    </row>
    <row r="5" spans="1:9" s="1" customFormat="1" ht="30" x14ac:dyDescent="0.25">
      <c r="A5" s="37" t="s">
        <v>13</v>
      </c>
      <c r="B5" s="131">
        <v>1537</v>
      </c>
      <c r="C5" s="157">
        <v>166265</v>
      </c>
      <c r="D5" s="164">
        <v>61.6</v>
      </c>
      <c r="E5" s="158">
        <v>58.4</v>
      </c>
      <c r="F5" s="132">
        <v>42.7</v>
      </c>
      <c r="G5" s="168">
        <v>20.100000000000001</v>
      </c>
      <c r="H5" s="164">
        <v>5.2</v>
      </c>
      <c r="I5" s="158">
        <v>3.1</v>
      </c>
    </row>
    <row r="6" spans="1:9" s="1" customFormat="1" ht="45" x14ac:dyDescent="0.25">
      <c r="A6" s="37" t="s">
        <v>14</v>
      </c>
      <c r="B6" s="131">
        <v>925</v>
      </c>
      <c r="C6" s="157">
        <v>86301</v>
      </c>
      <c r="D6" s="165">
        <v>55.1</v>
      </c>
      <c r="E6" s="144">
        <v>56.2</v>
      </c>
      <c r="F6" s="133">
        <v>53.7</v>
      </c>
      <c r="G6" s="143">
        <v>29.4</v>
      </c>
      <c r="H6" s="165">
        <v>11.7</v>
      </c>
      <c r="I6" s="144">
        <v>5.5</v>
      </c>
    </row>
    <row r="7" spans="1:9" s="1" customFormat="1" ht="45" x14ac:dyDescent="0.25">
      <c r="A7" s="37" t="s">
        <v>15</v>
      </c>
      <c r="B7" s="131">
        <v>558</v>
      </c>
      <c r="C7" s="157">
        <v>36210</v>
      </c>
      <c r="D7" s="165">
        <v>64.5</v>
      </c>
      <c r="E7" s="144">
        <v>65.400000000000006</v>
      </c>
      <c r="F7" s="133">
        <v>60.6</v>
      </c>
      <c r="G7" s="143">
        <v>21.1</v>
      </c>
      <c r="H7" s="165">
        <v>2</v>
      </c>
      <c r="I7" s="144">
        <v>2.4</v>
      </c>
    </row>
    <row r="8" spans="1:9" s="1" customFormat="1" x14ac:dyDescent="0.25">
      <c r="A8" s="5" t="s">
        <v>6</v>
      </c>
      <c r="B8" s="6">
        <v>3029</v>
      </c>
      <c r="C8" s="160">
        <v>290224</v>
      </c>
      <c r="D8" s="24">
        <v>60.1</v>
      </c>
      <c r="E8" s="161">
        <v>58.7</v>
      </c>
      <c r="F8" s="10">
        <v>49.4</v>
      </c>
      <c r="G8" s="169">
        <v>23</v>
      </c>
      <c r="H8" s="24">
        <v>6.6</v>
      </c>
      <c r="I8" s="161">
        <v>3.7</v>
      </c>
    </row>
    <row r="9" spans="1:9" s="1" customFormat="1" x14ac:dyDescent="0.25">
      <c r="A9" s="210" t="s">
        <v>203</v>
      </c>
      <c r="B9" s="210"/>
      <c r="C9" s="210"/>
      <c r="D9" s="210"/>
      <c r="E9" s="210"/>
      <c r="F9" s="210"/>
      <c r="G9" s="15"/>
      <c r="H9" s="15"/>
      <c r="I9" s="15"/>
    </row>
    <row r="11" spans="1:9" x14ac:dyDescent="0.25">
      <c r="A11" s="186" t="s">
        <v>184</v>
      </c>
      <c r="B11" s="186"/>
      <c r="C11" s="186"/>
      <c r="D11" s="186"/>
      <c r="E11" s="186"/>
      <c r="F11" s="186"/>
      <c r="G11" s="186"/>
    </row>
    <row r="12" spans="1:9" ht="34.5" customHeight="1" x14ac:dyDescent="0.25">
      <c r="A12" s="224" t="s">
        <v>0</v>
      </c>
      <c r="B12" s="222" t="s">
        <v>10</v>
      </c>
      <c r="C12" s="222"/>
      <c r="D12" s="220" t="s">
        <v>11</v>
      </c>
      <c r="E12" s="221"/>
      <c r="F12" s="222" t="s">
        <v>8</v>
      </c>
      <c r="G12" s="221"/>
    </row>
    <row r="13" spans="1:9" x14ac:dyDescent="0.25">
      <c r="A13" s="225"/>
      <c r="B13" s="2" t="s">
        <v>4</v>
      </c>
      <c r="C13" s="4" t="s">
        <v>5</v>
      </c>
      <c r="D13" s="2" t="s">
        <v>4</v>
      </c>
      <c r="E13" s="3" t="s">
        <v>5</v>
      </c>
      <c r="F13" s="4" t="s">
        <v>4</v>
      </c>
      <c r="G13" s="3" t="s">
        <v>5</v>
      </c>
    </row>
    <row r="14" spans="1:9" ht="30" x14ac:dyDescent="0.25">
      <c r="A14" s="37" t="s">
        <v>13</v>
      </c>
      <c r="B14" s="133">
        <v>25.1</v>
      </c>
      <c r="C14" s="143">
        <v>24.6</v>
      </c>
      <c r="D14" s="165">
        <v>101.2</v>
      </c>
      <c r="E14" s="144">
        <v>100.1</v>
      </c>
      <c r="F14" s="133">
        <v>57.3</v>
      </c>
      <c r="G14" s="144">
        <v>56.1</v>
      </c>
    </row>
    <row r="15" spans="1:9" ht="45" x14ac:dyDescent="0.25">
      <c r="A15" s="37" t="s">
        <v>14</v>
      </c>
      <c r="B15" s="133">
        <v>27.4</v>
      </c>
      <c r="C15" s="143">
        <v>27.3</v>
      </c>
      <c r="D15" s="165">
        <v>107.9</v>
      </c>
      <c r="E15" s="144">
        <v>107.9</v>
      </c>
      <c r="F15" s="133">
        <v>48.4</v>
      </c>
      <c r="G15" s="144">
        <v>61</v>
      </c>
    </row>
    <row r="16" spans="1:9" ht="45" x14ac:dyDescent="0.25">
      <c r="A16" s="37" t="s">
        <v>15</v>
      </c>
      <c r="B16" s="133">
        <v>26.9</v>
      </c>
      <c r="C16" s="143">
        <v>27.1</v>
      </c>
      <c r="D16" s="165">
        <v>104.2</v>
      </c>
      <c r="E16" s="144">
        <v>105.3</v>
      </c>
      <c r="F16" s="133">
        <v>35.5</v>
      </c>
      <c r="G16" s="144">
        <v>43.5</v>
      </c>
    </row>
    <row r="17" spans="1:14" x14ac:dyDescent="0.25">
      <c r="A17" s="5" t="s">
        <v>9</v>
      </c>
      <c r="B17" s="10">
        <v>26.2</v>
      </c>
      <c r="C17" s="169">
        <v>25.8</v>
      </c>
      <c r="D17" s="24">
        <v>103.8</v>
      </c>
      <c r="E17" s="161">
        <v>103.1</v>
      </c>
      <c r="F17" s="10">
        <v>50.4</v>
      </c>
      <c r="G17" s="161">
        <v>55.7</v>
      </c>
    </row>
    <row r="18" spans="1:14" ht="15" customHeight="1" x14ac:dyDescent="0.25">
      <c r="A18" s="210" t="s">
        <v>203</v>
      </c>
      <c r="B18" s="210"/>
      <c r="C18" s="210"/>
      <c r="D18" s="210"/>
      <c r="E18" s="210"/>
      <c r="F18" s="210"/>
    </row>
    <row r="20" spans="1:14" ht="30" customHeight="1" x14ac:dyDescent="0.25">
      <c r="A20" s="215" t="s">
        <v>185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1"/>
      <c r="M20" s="1"/>
    </row>
    <row r="21" spans="1:14" ht="90.75" customHeight="1" x14ac:dyDescent="0.25">
      <c r="A21" s="216" t="s">
        <v>12</v>
      </c>
      <c r="B21" s="218" t="s">
        <v>186</v>
      </c>
      <c r="C21" s="219"/>
      <c r="D21" s="220" t="s">
        <v>16</v>
      </c>
      <c r="E21" s="221"/>
      <c r="F21" s="222" t="s">
        <v>17</v>
      </c>
      <c r="G21" s="222"/>
      <c r="H21" s="220" t="s">
        <v>18</v>
      </c>
      <c r="I21" s="221"/>
      <c r="J21" s="222" t="s">
        <v>196</v>
      </c>
      <c r="K21" s="222"/>
      <c r="L21" s="231"/>
      <c r="M21" s="232"/>
    </row>
    <row r="22" spans="1:14" x14ac:dyDescent="0.25">
      <c r="A22" s="217"/>
      <c r="B22" s="2" t="s">
        <v>4</v>
      </c>
      <c r="C22" s="4" t="s">
        <v>5</v>
      </c>
      <c r="D22" s="2" t="s">
        <v>4</v>
      </c>
      <c r="E22" s="3" t="s">
        <v>5</v>
      </c>
      <c r="F22" s="4" t="s">
        <v>4</v>
      </c>
      <c r="G22" s="4" t="s">
        <v>5</v>
      </c>
      <c r="H22" s="2" t="s">
        <v>4</v>
      </c>
      <c r="I22" s="3" t="s">
        <v>5</v>
      </c>
      <c r="J22" s="4" t="s">
        <v>4</v>
      </c>
      <c r="K22" s="4" t="s">
        <v>5</v>
      </c>
      <c r="L22" s="76"/>
      <c r="M22" s="75"/>
    </row>
    <row r="23" spans="1:14" ht="30" x14ac:dyDescent="0.25">
      <c r="A23" s="37" t="s">
        <v>13</v>
      </c>
      <c r="B23" s="131">
        <v>1537</v>
      </c>
      <c r="C23" s="157">
        <v>166265</v>
      </c>
      <c r="D23" s="166">
        <v>96.6</v>
      </c>
      <c r="E23" s="144">
        <v>94.2</v>
      </c>
      <c r="F23" s="134">
        <f>45.1+47.1</f>
        <v>92.2</v>
      </c>
      <c r="G23" s="170">
        <f>39.1+51</f>
        <v>90.1</v>
      </c>
      <c r="H23" s="167">
        <f>27.7+63.2</f>
        <v>90.9</v>
      </c>
      <c r="I23" s="172">
        <f>22.8+65.1</f>
        <v>87.899999999999991</v>
      </c>
      <c r="J23" s="135">
        <f>46.1+40.7</f>
        <v>86.800000000000011</v>
      </c>
      <c r="K23" s="173">
        <f>39.3+45.4</f>
        <v>84.699999999999989</v>
      </c>
      <c r="L23" s="1"/>
      <c r="M23" s="1"/>
    </row>
    <row r="24" spans="1:14" ht="45" x14ac:dyDescent="0.25">
      <c r="A24" s="8" t="s">
        <v>14</v>
      </c>
      <c r="B24" s="131">
        <v>925</v>
      </c>
      <c r="C24" s="157">
        <v>86301</v>
      </c>
      <c r="D24" s="166">
        <v>92</v>
      </c>
      <c r="E24" s="144">
        <v>89</v>
      </c>
      <c r="F24" s="134">
        <f>47.4+43.2</f>
        <v>90.6</v>
      </c>
      <c r="G24" s="171">
        <f>46.1+44.7</f>
        <v>90.800000000000011</v>
      </c>
      <c r="H24" s="167">
        <f>39.1+51.6</f>
        <v>90.7</v>
      </c>
      <c r="I24" s="172">
        <f>32.4+58.2</f>
        <v>90.6</v>
      </c>
      <c r="J24" s="136">
        <f>55.5+36.3</f>
        <v>91.8</v>
      </c>
      <c r="K24" s="172">
        <f>50+38.8</f>
        <v>88.8</v>
      </c>
      <c r="L24" s="1"/>
      <c r="M24" s="1"/>
    </row>
    <row r="25" spans="1:14" ht="45" x14ac:dyDescent="0.25">
      <c r="A25" s="8" t="s">
        <v>15</v>
      </c>
      <c r="B25" s="131">
        <v>558</v>
      </c>
      <c r="C25" s="157">
        <v>36210</v>
      </c>
      <c r="D25" s="166">
        <v>98.2</v>
      </c>
      <c r="E25" s="144">
        <v>93.2</v>
      </c>
      <c r="F25" s="134">
        <f>39.8+50.5</f>
        <v>90.3</v>
      </c>
      <c r="G25" s="170">
        <f>38+50.3</f>
        <v>88.3</v>
      </c>
      <c r="H25" s="167">
        <f>18.6+61.1</f>
        <v>79.7</v>
      </c>
      <c r="I25" s="172">
        <f>20.1+60.4</f>
        <v>80.5</v>
      </c>
      <c r="J25" s="136">
        <f>32.8+41.1</f>
        <v>73.900000000000006</v>
      </c>
      <c r="K25" s="174">
        <f>31.5+42.5</f>
        <v>74</v>
      </c>
      <c r="L25" s="1"/>
      <c r="M25" s="1"/>
    </row>
    <row r="26" spans="1:14" x14ac:dyDescent="0.25">
      <c r="A26" s="5" t="s">
        <v>9</v>
      </c>
      <c r="B26" s="6">
        <v>3029</v>
      </c>
      <c r="C26" s="160">
        <v>290224</v>
      </c>
      <c r="D26" s="70">
        <v>95.5</v>
      </c>
      <c r="E26" s="161">
        <v>92.5</v>
      </c>
      <c r="F26" s="39">
        <f>44.8+46.6</f>
        <v>91.4</v>
      </c>
      <c r="G26" s="162">
        <f>41+49.1</f>
        <v>90.1</v>
      </c>
      <c r="H26" s="155">
        <f>29.4+59.4</f>
        <v>88.8</v>
      </c>
      <c r="I26" s="163">
        <f>25.3+62.5</f>
        <v>87.8</v>
      </c>
      <c r="J26" s="82">
        <f>46.4+39.5</f>
        <v>85.9</v>
      </c>
      <c r="K26" s="163">
        <f>41.5+43.1</f>
        <v>84.6</v>
      </c>
      <c r="L26" s="1"/>
      <c r="M26" s="1"/>
    </row>
    <row r="27" spans="1:14" ht="15" customHeight="1" x14ac:dyDescent="0.25">
      <c r="A27" s="210" t="s">
        <v>203</v>
      </c>
      <c r="B27" s="210"/>
      <c r="C27" s="210"/>
      <c r="D27" s="210"/>
      <c r="E27" s="210"/>
      <c r="F27" s="210"/>
      <c r="G27" s="62"/>
      <c r="H27" s="62"/>
      <c r="I27" s="62"/>
      <c r="J27" s="61"/>
      <c r="K27" s="61"/>
    </row>
    <row r="28" spans="1:14" x14ac:dyDescent="0.25">
      <c r="A28" s="66"/>
      <c r="B28" s="63"/>
      <c r="C28" s="63"/>
      <c r="D28" s="64"/>
      <c r="E28" s="64"/>
      <c r="F28" s="65"/>
      <c r="G28" s="61"/>
      <c r="H28" s="61"/>
      <c r="I28" s="61"/>
      <c r="J28" s="61"/>
      <c r="K28" s="61"/>
    </row>
    <row r="29" spans="1:14" ht="27" customHeight="1" x14ac:dyDescent="0.25">
      <c r="A29" s="194" t="s">
        <v>27</v>
      </c>
      <c r="B29" s="195"/>
      <c r="C29" s="195"/>
      <c r="D29" s="195"/>
      <c r="E29" s="195"/>
      <c r="F29" s="195"/>
      <c r="G29" s="195"/>
      <c r="H29" s="195"/>
      <c r="I29" s="195"/>
    </row>
    <row r="30" spans="1:14" ht="15" customHeight="1" x14ac:dyDescent="0.25">
      <c r="A30" s="196" t="s">
        <v>12</v>
      </c>
      <c r="B30" s="197" t="s">
        <v>21</v>
      </c>
      <c r="C30" s="198"/>
      <c r="D30" s="204" t="s">
        <v>4</v>
      </c>
      <c r="E30" s="205"/>
      <c r="F30" s="206"/>
      <c r="G30" s="205" t="s">
        <v>5</v>
      </c>
      <c r="H30" s="205"/>
      <c r="I30" s="206"/>
      <c r="J30" s="20"/>
      <c r="K30" s="69"/>
      <c r="L30" s="1"/>
      <c r="M30" s="1"/>
      <c r="N30" s="1"/>
    </row>
    <row r="31" spans="1:14" ht="29.25" customHeight="1" x14ac:dyDescent="0.25">
      <c r="A31" s="196"/>
      <c r="B31" s="199"/>
      <c r="C31" s="200"/>
      <c r="D31" s="4">
        <v>2019</v>
      </c>
      <c r="E31" s="4">
        <v>2018</v>
      </c>
      <c r="F31" s="4">
        <v>2017</v>
      </c>
      <c r="G31" s="2">
        <v>2019</v>
      </c>
      <c r="H31" s="4">
        <v>2018</v>
      </c>
      <c r="I31" s="4">
        <v>2017</v>
      </c>
      <c r="J31" s="21"/>
      <c r="K31" s="1"/>
      <c r="L31" s="1"/>
      <c r="M31" s="1"/>
      <c r="N31" s="1"/>
    </row>
    <row r="32" spans="1:14" ht="27.75" customHeight="1" x14ac:dyDescent="0.25">
      <c r="A32" s="193" t="s">
        <v>13</v>
      </c>
      <c r="B32" s="191" t="s">
        <v>22</v>
      </c>
      <c r="C32" s="192"/>
      <c r="D32" s="84">
        <v>73.7</v>
      </c>
      <c r="E32" s="84">
        <v>74.5</v>
      </c>
      <c r="F32" s="86">
        <v>72.900000000000006</v>
      </c>
      <c r="G32" s="85">
        <v>70.3</v>
      </c>
      <c r="H32" s="84">
        <v>68.400000000000006</v>
      </c>
      <c r="I32" s="90">
        <v>67.099999999999994</v>
      </c>
    </row>
    <row r="33" spans="1:10" ht="27.75" customHeight="1" x14ac:dyDescent="0.25">
      <c r="A33" s="193"/>
      <c r="B33" s="187" t="s">
        <v>23</v>
      </c>
      <c r="C33" s="188"/>
      <c r="D33" s="84">
        <v>8.8000000000000007</v>
      </c>
      <c r="E33" s="84">
        <v>7.4</v>
      </c>
      <c r="F33" s="86">
        <v>7.6</v>
      </c>
      <c r="G33" s="85">
        <v>10.5</v>
      </c>
      <c r="H33" s="84">
        <v>10.8</v>
      </c>
      <c r="I33" s="87">
        <v>10.7</v>
      </c>
    </row>
    <row r="34" spans="1:10" ht="41.25" customHeight="1" x14ac:dyDescent="0.25">
      <c r="A34" s="193"/>
      <c r="B34" s="187" t="s">
        <v>24</v>
      </c>
      <c r="C34" s="188"/>
      <c r="D34" s="84">
        <v>11</v>
      </c>
      <c r="E34" s="84">
        <v>10.9</v>
      </c>
      <c r="F34" s="59">
        <v>10.7</v>
      </c>
      <c r="G34" s="85">
        <v>11.1</v>
      </c>
      <c r="H34" s="84">
        <v>12</v>
      </c>
      <c r="I34" s="87">
        <v>12.8</v>
      </c>
    </row>
    <row r="35" spans="1:10" ht="43.5" customHeight="1" x14ac:dyDescent="0.25">
      <c r="A35" s="193"/>
      <c r="B35" s="187" t="s">
        <v>25</v>
      </c>
      <c r="C35" s="188"/>
      <c r="D35" s="84">
        <v>5.0999999999999996</v>
      </c>
      <c r="E35" s="84">
        <v>5.9</v>
      </c>
      <c r="F35" s="59">
        <v>7</v>
      </c>
      <c r="G35" s="85">
        <v>5.9</v>
      </c>
      <c r="H35" s="84">
        <v>6.5</v>
      </c>
      <c r="I35" s="87">
        <v>6.7</v>
      </c>
    </row>
    <row r="36" spans="1:10" ht="45" customHeight="1" x14ac:dyDescent="0.25">
      <c r="A36" s="193"/>
      <c r="B36" s="189" t="s">
        <v>26</v>
      </c>
      <c r="C36" s="190"/>
      <c r="D36" s="91">
        <v>1.1000000000000001</v>
      </c>
      <c r="E36" s="84">
        <v>1.3</v>
      </c>
      <c r="F36" s="92">
        <v>1.3</v>
      </c>
      <c r="G36" s="91">
        <v>1.7</v>
      </c>
      <c r="H36" s="92">
        <v>2</v>
      </c>
      <c r="I36" s="93">
        <v>2.2999999999999998</v>
      </c>
    </row>
    <row r="37" spans="1:10" ht="33" customHeight="1" x14ac:dyDescent="0.25">
      <c r="A37" s="193" t="s">
        <v>14</v>
      </c>
      <c r="B37" s="191" t="s">
        <v>22</v>
      </c>
      <c r="C37" s="192"/>
      <c r="D37" s="84">
        <v>71.8</v>
      </c>
      <c r="E37" s="89">
        <v>72.400000000000006</v>
      </c>
      <c r="F37" s="86">
        <v>71.400000000000006</v>
      </c>
      <c r="G37" s="85">
        <v>75.599999999999994</v>
      </c>
      <c r="H37" s="86">
        <v>74.8</v>
      </c>
      <c r="I37" s="90">
        <v>74.2</v>
      </c>
    </row>
    <row r="38" spans="1:10" ht="32.25" customHeight="1" x14ac:dyDescent="0.25">
      <c r="A38" s="193"/>
      <c r="B38" s="187" t="s">
        <v>23</v>
      </c>
      <c r="C38" s="188"/>
      <c r="D38" s="84">
        <v>6.8</v>
      </c>
      <c r="E38" s="59">
        <v>7.1</v>
      </c>
      <c r="F38" s="86">
        <v>8.5</v>
      </c>
      <c r="G38" s="85">
        <v>6.8</v>
      </c>
      <c r="H38" s="86">
        <v>6.8</v>
      </c>
      <c r="I38" s="87">
        <v>6.5</v>
      </c>
    </row>
    <row r="39" spans="1:10" ht="45" customHeight="1" x14ac:dyDescent="0.25">
      <c r="A39" s="193"/>
      <c r="B39" s="187" t="s">
        <v>24</v>
      </c>
      <c r="C39" s="188"/>
      <c r="D39" s="84">
        <v>11.9</v>
      </c>
      <c r="E39" s="59">
        <v>9.8000000000000007</v>
      </c>
      <c r="F39" s="86">
        <v>10.6</v>
      </c>
      <c r="G39" s="85">
        <v>9.1999999999999993</v>
      </c>
      <c r="H39" s="86">
        <v>9.5</v>
      </c>
      <c r="I39" s="87">
        <v>10</v>
      </c>
    </row>
    <row r="40" spans="1:10" ht="45" customHeight="1" x14ac:dyDescent="0.25">
      <c r="A40" s="193"/>
      <c r="B40" s="187" t="s">
        <v>25</v>
      </c>
      <c r="C40" s="188"/>
      <c r="D40" s="84">
        <v>6</v>
      </c>
      <c r="E40" s="59">
        <v>7.2</v>
      </c>
      <c r="F40" s="86">
        <v>7.3</v>
      </c>
      <c r="G40" s="85">
        <v>4.9000000000000004</v>
      </c>
      <c r="H40" s="86">
        <v>5.0999999999999996</v>
      </c>
      <c r="I40" s="87">
        <v>5.0999999999999996</v>
      </c>
    </row>
    <row r="41" spans="1:10" ht="45" customHeight="1" x14ac:dyDescent="0.25">
      <c r="A41" s="193"/>
      <c r="B41" s="189" t="s">
        <v>26</v>
      </c>
      <c r="C41" s="190"/>
      <c r="D41" s="84">
        <v>3.3</v>
      </c>
      <c r="E41" s="127">
        <v>3.5</v>
      </c>
      <c r="F41" s="92">
        <v>2.1</v>
      </c>
      <c r="G41" s="91">
        <v>3.1</v>
      </c>
      <c r="H41" s="92">
        <v>3.5</v>
      </c>
      <c r="I41" s="93">
        <v>3.9</v>
      </c>
    </row>
    <row r="42" spans="1:10" ht="35.25" customHeight="1" x14ac:dyDescent="0.25">
      <c r="A42" s="196" t="s">
        <v>12</v>
      </c>
      <c r="B42" s="197" t="s">
        <v>21</v>
      </c>
      <c r="C42" s="198"/>
      <c r="D42" s="204" t="s">
        <v>4</v>
      </c>
      <c r="E42" s="209"/>
      <c r="F42" s="206"/>
      <c r="G42" s="205" t="s">
        <v>5</v>
      </c>
      <c r="H42" s="205"/>
      <c r="I42" s="206"/>
    </row>
    <row r="43" spans="1:10" ht="33.75" customHeight="1" x14ac:dyDescent="0.25">
      <c r="A43" s="196"/>
      <c r="B43" s="199"/>
      <c r="C43" s="200"/>
      <c r="D43" s="4">
        <v>2019</v>
      </c>
      <c r="E43" s="4">
        <v>2018</v>
      </c>
      <c r="F43" s="4">
        <v>2017</v>
      </c>
      <c r="G43" s="2">
        <v>2019</v>
      </c>
      <c r="H43" s="4">
        <v>2018</v>
      </c>
      <c r="I43" s="4">
        <v>2017</v>
      </c>
      <c r="J43" s="21"/>
    </row>
    <row r="44" spans="1:10" ht="30" customHeight="1" x14ac:dyDescent="0.25">
      <c r="A44" s="193" t="s">
        <v>15</v>
      </c>
      <c r="B44" s="191" t="s">
        <v>22</v>
      </c>
      <c r="C44" s="192"/>
      <c r="D44" s="84">
        <v>69.3</v>
      </c>
      <c r="E44" s="86">
        <v>70.5</v>
      </c>
      <c r="F44" s="86">
        <v>71.8</v>
      </c>
      <c r="G44" s="85">
        <v>68.7</v>
      </c>
      <c r="H44" s="86">
        <v>66.5</v>
      </c>
      <c r="I44" s="90">
        <v>66.3</v>
      </c>
    </row>
    <row r="45" spans="1:10" ht="27.75" customHeight="1" x14ac:dyDescent="0.25">
      <c r="A45" s="193"/>
      <c r="B45" s="187" t="s">
        <v>23</v>
      </c>
      <c r="C45" s="188"/>
      <c r="D45" s="84">
        <v>6.8</v>
      </c>
      <c r="E45" s="86">
        <v>7</v>
      </c>
      <c r="F45" s="86">
        <v>7.2</v>
      </c>
      <c r="G45" s="85">
        <v>7.5</v>
      </c>
      <c r="H45" s="86">
        <v>7.7</v>
      </c>
      <c r="I45" s="87">
        <v>7.5</v>
      </c>
    </row>
    <row r="46" spans="1:10" ht="45" customHeight="1" x14ac:dyDescent="0.25">
      <c r="A46" s="193"/>
      <c r="B46" s="187" t="s">
        <v>24</v>
      </c>
      <c r="C46" s="188"/>
      <c r="D46" s="84">
        <v>15.7</v>
      </c>
      <c r="E46" s="86">
        <v>14.1</v>
      </c>
      <c r="F46" s="86">
        <v>14.6</v>
      </c>
      <c r="G46" s="85">
        <v>16.600000000000001</v>
      </c>
      <c r="H46" s="86">
        <v>17.8</v>
      </c>
      <c r="I46" s="87">
        <v>17.899999999999999</v>
      </c>
    </row>
    <row r="47" spans="1:10" ht="46.5" customHeight="1" x14ac:dyDescent="0.25">
      <c r="A47" s="193"/>
      <c r="B47" s="187" t="s">
        <v>25</v>
      </c>
      <c r="C47" s="188"/>
      <c r="D47" s="84">
        <v>6.8</v>
      </c>
      <c r="E47" s="86">
        <v>7</v>
      </c>
      <c r="F47" s="86">
        <v>5.3</v>
      </c>
      <c r="G47" s="85">
        <v>5.3</v>
      </c>
      <c r="H47" s="86">
        <v>5.6</v>
      </c>
      <c r="I47" s="87">
        <v>5.8</v>
      </c>
    </row>
    <row r="48" spans="1:10" ht="42" customHeight="1" x14ac:dyDescent="0.25">
      <c r="A48" s="193"/>
      <c r="B48" s="189" t="s">
        <v>26</v>
      </c>
      <c r="C48" s="190"/>
      <c r="D48" s="91">
        <v>1.5</v>
      </c>
      <c r="E48" s="92">
        <v>1.4</v>
      </c>
      <c r="F48" s="92">
        <v>0.6</v>
      </c>
      <c r="G48" s="91">
        <v>1.8</v>
      </c>
      <c r="H48" s="92">
        <v>2</v>
      </c>
      <c r="I48" s="93">
        <v>2.1</v>
      </c>
    </row>
    <row r="49" spans="1:19" ht="30" customHeight="1" x14ac:dyDescent="0.25">
      <c r="A49" s="208" t="s">
        <v>9</v>
      </c>
      <c r="B49" s="191" t="s">
        <v>22</v>
      </c>
      <c r="C49" s="192"/>
      <c r="D49" s="84">
        <v>72.3</v>
      </c>
      <c r="E49" s="86">
        <v>73</v>
      </c>
      <c r="F49" s="59">
        <v>72.3</v>
      </c>
      <c r="G49" s="85">
        <v>71.599999999999994</v>
      </c>
      <c r="H49" s="86">
        <v>70</v>
      </c>
      <c r="I49" s="90">
        <v>69.099999999999994</v>
      </c>
    </row>
    <row r="50" spans="1:19" ht="33" customHeight="1" x14ac:dyDescent="0.25">
      <c r="A50" s="208"/>
      <c r="B50" s="187" t="s">
        <v>23</v>
      </c>
      <c r="C50" s="188"/>
      <c r="D50" s="84">
        <v>7.8</v>
      </c>
      <c r="E50" s="86">
        <v>7.2</v>
      </c>
      <c r="F50" s="59">
        <v>7.9</v>
      </c>
      <c r="G50" s="85">
        <v>9.1</v>
      </c>
      <c r="H50" s="86">
        <v>9.3000000000000007</v>
      </c>
      <c r="I50" s="87">
        <v>9.1</v>
      </c>
    </row>
    <row r="51" spans="1:19" ht="45" customHeight="1" x14ac:dyDescent="0.25">
      <c r="A51" s="208"/>
      <c r="B51" s="187" t="s">
        <v>24</v>
      </c>
      <c r="C51" s="188"/>
      <c r="D51" s="84">
        <v>12.2</v>
      </c>
      <c r="E51" s="86">
        <v>11.2</v>
      </c>
      <c r="F51" s="59">
        <v>11.4</v>
      </c>
      <c r="G51" s="85">
        <v>11.3</v>
      </c>
      <c r="H51" s="86">
        <v>12.1</v>
      </c>
      <c r="I51" s="87">
        <v>12.6</v>
      </c>
    </row>
    <row r="52" spans="1:19" ht="47.25" customHeight="1" x14ac:dyDescent="0.25">
      <c r="A52" s="208"/>
      <c r="B52" s="187" t="s">
        <v>25</v>
      </c>
      <c r="C52" s="188"/>
      <c r="D52" s="84">
        <v>5.6</v>
      </c>
      <c r="E52" s="86">
        <v>6.5</v>
      </c>
      <c r="F52" s="59">
        <v>6.8</v>
      </c>
      <c r="G52" s="85">
        <v>5.6</v>
      </c>
      <c r="H52" s="86">
        <v>6</v>
      </c>
      <c r="I52" s="87">
        <v>6.1</v>
      </c>
    </row>
    <row r="53" spans="1:19" ht="45" customHeight="1" x14ac:dyDescent="0.25">
      <c r="A53" s="208"/>
      <c r="B53" s="189" t="s">
        <v>26</v>
      </c>
      <c r="C53" s="190"/>
      <c r="D53" s="84">
        <v>1.8</v>
      </c>
      <c r="E53" s="92">
        <v>2</v>
      </c>
      <c r="F53" s="92">
        <v>1.4</v>
      </c>
      <c r="G53" s="91">
        <v>2.2000000000000002</v>
      </c>
      <c r="H53" s="92">
        <v>2.4</v>
      </c>
      <c r="I53" s="93">
        <v>2.7</v>
      </c>
    </row>
    <row r="54" spans="1:19" ht="15" customHeight="1" x14ac:dyDescent="0.25">
      <c r="A54" s="210" t="s">
        <v>203</v>
      </c>
      <c r="B54" s="210"/>
      <c r="C54" s="210"/>
      <c r="D54" s="210"/>
      <c r="E54" s="210"/>
      <c r="F54" s="210"/>
      <c r="G54" s="11"/>
      <c r="H54" s="11"/>
      <c r="I54" s="11"/>
    </row>
    <row r="55" spans="1:19" x14ac:dyDescent="0.25">
      <c r="A55" s="49"/>
      <c r="B55" s="50"/>
      <c r="C55" s="50"/>
      <c r="D55" s="11"/>
      <c r="E55" s="11"/>
      <c r="F55" s="11"/>
      <c r="G55" s="11"/>
      <c r="H55" s="11"/>
      <c r="I55" s="11"/>
    </row>
    <row r="56" spans="1:19" x14ac:dyDescent="0.25">
      <c r="A56" s="207" t="s">
        <v>187</v>
      </c>
      <c r="B56" s="207"/>
      <c r="C56" s="207"/>
      <c r="D56" s="207"/>
      <c r="E56" s="207"/>
      <c r="F56" s="207"/>
      <c r="G56" s="207"/>
      <c r="H56" s="207"/>
      <c r="I56" s="207"/>
      <c r="J56" s="207"/>
    </row>
    <row r="57" spans="1:19" x14ac:dyDescent="0.25">
      <c r="A57" s="16"/>
      <c r="B57" s="201" t="s">
        <v>188</v>
      </c>
      <c r="C57" s="202"/>
      <c r="D57" s="202"/>
      <c r="E57" s="202"/>
      <c r="F57" s="202"/>
      <c r="G57" s="203"/>
      <c r="H57" s="201" t="s">
        <v>156</v>
      </c>
      <c r="I57" s="202"/>
      <c r="J57" s="202"/>
      <c r="K57" s="202"/>
      <c r="L57" s="202"/>
      <c r="M57" s="203"/>
      <c r="N57" s="201" t="s">
        <v>151</v>
      </c>
      <c r="O57" s="202"/>
      <c r="P57" s="202"/>
      <c r="Q57" s="202"/>
      <c r="R57" s="202"/>
      <c r="S57" s="203"/>
    </row>
    <row r="58" spans="1:19" ht="126" customHeight="1" x14ac:dyDescent="0.25">
      <c r="A58" s="233"/>
      <c r="B58" s="222" t="s">
        <v>28</v>
      </c>
      <c r="C58" s="222"/>
      <c r="D58" s="222" t="s">
        <v>29</v>
      </c>
      <c r="E58" s="222"/>
      <c r="F58" s="222" t="s">
        <v>157</v>
      </c>
      <c r="G58" s="221"/>
      <c r="H58" s="222" t="s">
        <v>28</v>
      </c>
      <c r="I58" s="222"/>
      <c r="J58" s="222" t="s">
        <v>29</v>
      </c>
      <c r="K58" s="222"/>
      <c r="L58" s="219" t="s">
        <v>157</v>
      </c>
      <c r="M58" s="235"/>
      <c r="N58" s="222" t="s">
        <v>28</v>
      </c>
      <c r="O58" s="222"/>
      <c r="P58" s="222" t="s">
        <v>29</v>
      </c>
      <c r="Q58" s="222"/>
      <c r="R58" s="222" t="s">
        <v>157</v>
      </c>
      <c r="S58" s="221"/>
    </row>
    <row r="59" spans="1:19" x14ac:dyDescent="0.25">
      <c r="A59" s="234"/>
      <c r="B59" s="17" t="s">
        <v>4</v>
      </c>
      <c r="C59" s="18" t="s">
        <v>5</v>
      </c>
      <c r="D59" s="18" t="s">
        <v>4</v>
      </c>
      <c r="E59" s="18" t="s">
        <v>5</v>
      </c>
      <c r="F59" s="9" t="s">
        <v>4</v>
      </c>
      <c r="G59" s="19" t="s">
        <v>5</v>
      </c>
      <c r="H59" s="17" t="s">
        <v>4</v>
      </c>
      <c r="I59" s="18" t="s">
        <v>5</v>
      </c>
      <c r="J59" s="18" t="s">
        <v>4</v>
      </c>
      <c r="K59" s="18" t="s">
        <v>5</v>
      </c>
      <c r="L59" s="22" t="s">
        <v>4</v>
      </c>
      <c r="M59" s="19" t="s">
        <v>5</v>
      </c>
      <c r="N59" s="17" t="s">
        <v>4</v>
      </c>
      <c r="O59" s="18" t="s">
        <v>5</v>
      </c>
      <c r="P59" s="18" t="s">
        <v>4</v>
      </c>
      <c r="Q59" s="18" t="s">
        <v>5</v>
      </c>
      <c r="R59" s="36" t="s">
        <v>4</v>
      </c>
      <c r="S59" s="19" t="s">
        <v>5</v>
      </c>
    </row>
    <row r="60" spans="1:19" ht="30" x14ac:dyDescent="0.25">
      <c r="A60" s="7" t="s">
        <v>13</v>
      </c>
      <c r="B60" s="84">
        <v>8.6999999999999993</v>
      </c>
      <c r="C60" s="141">
        <v>9.4</v>
      </c>
      <c r="D60" s="84">
        <v>6.9</v>
      </c>
      <c r="E60" s="141">
        <v>7.1</v>
      </c>
      <c r="F60" s="84">
        <v>87.3</v>
      </c>
      <c r="G60" s="173">
        <v>90.9</v>
      </c>
      <c r="H60" s="59">
        <v>8</v>
      </c>
      <c r="I60" s="140">
        <v>9.8000000000000007</v>
      </c>
      <c r="J60" s="59">
        <v>6.1</v>
      </c>
      <c r="K60" s="140">
        <v>7</v>
      </c>
      <c r="L60" s="59">
        <v>91.8</v>
      </c>
      <c r="M60" s="173">
        <v>89.7</v>
      </c>
      <c r="N60" s="86">
        <v>8.1</v>
      </c>
      <c r="O60" s="140">
        <v>10</v>
      </c>
      <c r="P60" s="86">
        <v>5.4</v>
      </c>
      <c r="Q60" s="140">
        <v>6.9</v>
      </c>
      <c r="R60" s="86">
        <v>84.9</v>
      </c>
      <c r="S60" s="173">
        <v>87</v>
      </c>
    </row>
    <row r="61" spans="1:19" ht="45" x14ac:dyDescent="0.25">
      <c r="A61" s="8" t="s">
        <v>14</v>
      </c>
      <c r="B61" s="84">
        <v>20.7</v>
      </c>
      <c r="C61" s="141">
        <v>17</v>
      </c>
      <c r="D61" s="84">
        <v>16.2</v>
      </c>
      <c r="E61" s="141">
        <v>10.7</v>
      </c>
      <c r="F61" s="84">
        <v>85.5</v>
      </c>
      <c r="G61" s="149">
        <v>70.7</v>
      </c>
      <c r="H61" s="59">
        <v>18.3</v>
      </c>
      <c r="I61" s="140">
        <v>17.7</v>
      </c>
      <c r="J61" s="59">
        <v>13.9</v>
      </c>
      <c r="K61" s="140">
        <v>10.8</v>
      </c>
      <c r="L61" s="59">
        <v>82.4</v>
      </c>
      <c r="M61" s="149">
        <v>69.099999999999994</v>
      </c>
      <c r="N61" s="86">
        <v>21.4</v>
      </c>
      <c r="O61" s="140">
        <v>16.7</v>
      </c>
      <c r="P61" s="86">
        <v>15.5</v>
      </c>
      <c r="Q61" s="140">
        <v>10.9</v>
      </c>
      <c r="R61" s="86">
        <v>81.5</v>
      </c>
      <c r="S61" s="149">
        <v>68</v>
      </c>
    </row>
    <row r="62" spans="1:19" ht="45" x14ac:dyDescent="0.25">
      <c r="A62" s="8" t="s">
        <v>15</v>
      </c>
      <c r="B62" s="91">
        <v>14.6</v>
      </c>
      <c r="C62" s="142">
        <v>17.2</v>
      </c>
      <c r="D62" s="92">
        <v>11.5</v>
      </c>
      <c r="E62" s="142">
        <v>13.3</v>
      </c>
      <c r="F62" s="92">
        <v>74.3</v>
      </c>
      <c r="G62" s="150">
        <v>82.6</v>
      </c>
      <c r="H62" s="59">
        <v>11.4</v>
      </c>
      <c r="I62" s="140">
        <v>17.3</v>
      </c>
      <c r="J62" s="59">
        <v>8.4</v>
      </c>
      <c r="K62" s="140">
        <v>13.3</v>
      </c>
      <c r="L62" s="59">
        <v>70.400000000000006</v>
      </c>
      <c r="M62" s="150">
        <v>81.8</v>
      </c>
      <c r="N62" s="86">
        <v>10.6</v>
      </c>
      <c r="O62" s="140">
        <v>17.100000000000001</v>
      </c>
      <c r="P62" s="86">
        <v>7.4</v>
      </c>
      <c r="Q62" s="140">
        <v>13</v>
      </c>
      <c r="R62" s="86">
        <v>52.2</v>
      </c>
      <c r="S62" s="150">
        <v>81</v>
      </c>
    </row>
    <row r="63" spans="1:19" x14ac:dyDescent="0.25">
      <c r="A63" s="5" t="s">
        <v>9</v>
      </c>
      <c r="B63" s="83">
        <v>13.3</v>
      </c>
      <c r="C63" s="175">
        <v>12.5</v>
      </c>
      <c r="D63" s="83">
        <v>10.5</v>
      </c>
      <c r="E63" s="175">
        <v>8.9</v>
      </c>
      <c r="F63" s="83">
        <v>83.9</v>
      </c>
      <c r="G63" s="176">
        <v>81.3</v>
      </c>
      <c r="H63" s="70">
        <v>11.6</v>
      </c>
      <c r="I63" s="169">
        <v>13</v>
      </c>
      <c r="J63" s="39">
        <v>8.8000000000000007</v>
      </c>
      <c r="K63" s="169">
        <v>8.9</v>
      </c>
      <c r="L63" s="39">
        <v>83.4</v>
      </c>
      <c r="M63" s="163">
        <v>80</v>
      </c>
      <c r="N63" s="24">
        <v>12.3</v>
      </c>
      <c r="O63" s="169">
        <v>12.8</v>
      </c>
      <c r="P63" s="10">
        <v>8.6</v>
      </c>
      <c r="Q63" s="169">
        <v>8.8000000000000007</v>
      </c>
      <c r="R63" s="10">
        <v>77.7</v>
      </c>
      <c r="S63" s="163">
        <v>78.400000000000006</v>
      </c>
    </row>
    <row r="64" spans="1:19" ht="15" customHeight="1" x14ac:dyDescent="0.25">
      <c r="A64" s="210" t="s">
        <v>203</v>
      </c>
      <c r="B64" s="210"/>
      <c r="C64" s="210"/>
      <c r="D64" s="210"/>
      <c r="E64" s="210"/>
      <c r="F64" s="210"/>
    </row>
  </sheetData>
  <mergeCells count="71">
    <mergeCell ref="A54:F54"/>
    <mergeCell ref="A64:F64"/>
    <mergeCell ref="L21:M21"/>
    <mergeCell ref="N57:S57"/>
    <mergeCell ref="N58:O58"/>
    <mergeCell ref="P58:Q58"/>
    <mergeCell ref="R58:S58"/>
    <mergeCell ref="A58:A59"/>
    <mergeCell ref="B58:C58"/>
    <mergeCell ref="D58:E58"/>
    <mergeCell ref="F58:G58"/>
    <mergeCell ref="H58:I58"/>
    <mergeCell ref="J58:K58"/>
    <mergeCell ref="L58:M58"/>
    <mergeCell ref="H57:M57"/>
    <mergeCell ref="B40:C40"/>
    <mergeCell ref="H2:I3"/>
    <mergeCell ref="A20:K20"/>
    <mergeCell ref="A21:A22"/>
    <mergeCell ref="B21:C21"/>
    <mergeCell ref="D21:E21"/>
    <mergeCell ref="F21:G21"/>
    <mergeCell ref="H21:I21"/>
    <mergeCell ref="J21:K21"/>
    <mergeCell ref="F2:G3"/>
    <mergeCell ref="A12:A13"/>
    <mergeCell ref="B12:C12"/>
    <mergeCell ref="D12:E12"/>
    <mergeCell ref="F12:G12"/>
    <mergeCell ref="A2:A4"/>
    <mergeCell ref="B2:C3"/>
    <mergeCell ref="D2:E3"/>
    <mergeCell ref="B41:C41"/>
    <mergeCell ref="B34:C34"/>
    <mergeCell ref="B35:C35"/>
    <mergeCell ref="B36:C36"/>
    <mergeCell ref="A9:F9"/>
    <mergeCell ref="A18:F18"/>
    <mergeCell ref="A27:F27"/>
    <mergeCell ref="B57:G57"/>
    <mergeCell ref="D30:F30"/>
    <mergeCell ref="G30:I30"/>
    <mergeCell ref="B50:C50"/>
    <mergeCell ref="B51:C51"/>
    <mergeCell ref="A56:J56"/>
    <mergeCell ref="A49:A53"/>
    <mergeCell ref="B52:C52"/>
    <mergeCell ref="B53:C53"/>
    <mergeCell ref="A42:A43"/>
    <mergeCell ref="B42:C43"/>
    <mergeCell ref="D42:F42"/>
    <mergeCell ref="G42:I42"/>
    <mergeCell ref="A44:A48"/>
    <mergeCell ref="B32:C32"/>
    <mergeCell ref="B33:C33"/>
    <mergeCell ref="A1:F1"/>
    <mergeCell ref="A11:G11"/>
    <mergeCell ref="B47:C47"/>
    <mergeCell ref="B48:C48"/>
    <mergeCell ref="B49:C49"/>
    <mergeCell ref="B44:C44"/>
    <mergeCell ref="B45:C45"/>
    <mergeCell ref="B46:C46"/>
    <mergeCell ref="A37:A41"/>
    <mergeCell ref="B37:C37"/>
    <mergeCell ref="A29:I29"/>
    <mergeCell ref="A30:A31"/>
    <mergeCell ref="B30:C31"/>
    <mergeCell ref="B38:C38"/>
    <mergeCell ref="B39:C39"/>
    <mergeCell ref="A32:A36"/>
  </mergeCells>
  <pageMargins left="0.7" right="0.7" top="0.75" bottom="0.75" header="0.3" footer="0.3"/>
  <pageSetup paperSize="9" scale="66" orientation="landscape" r:id="rId1"/>
  <rowBreaks count="2" manualBreakCount="2">
    <brk id="41" max="16383" man="1"/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selection activeCell="A26" sqref="A26"/>
    </sheetView>
  </sheetViews>
  <sheetFormatPr defaultColWidth="9.140625" defaultRowHeight="15" x14ac:dyDescent="0.25"/>
  <cols>
    <col min="1" max="1" width="39.5703125" style="38" customWidth="1"/>
    <col min="2" max="2" width="18" style="38" bestFit="1" customWidth="1"/>
    <col min="3" max="3" width="15.42578125" style="38" bestFit="1" customWidth="1"/>
    <col min="4" max="4" width="15.7109375" style="38" customWidth="1"/>
    <col min="5" max="5" width="18" style="38" bestFit="1" customWidth="1"/>
    <col min="6" max="7" width="15.42578125" style="38" bestFit="1" customWidth="1"/>
    <col min="8" max="8" width="18" style="38" customWidth="1"/>
    <col min="9" max="9" width="18.28515625" style="38" customWidth="1"/>
    <col min="10" max="10" width="16.85546875" style="38" customWidth="1"/>
    <col min="11" max="16384" width="9.140625" style="38"/>
  </cols>
  <sheetData>
    <row r="1" spans="1:11" x14ac:dyDescent="0.25">
      <c r="A1" s="207" t="s">
        <v>189</v>
      </c>
      <c r="B1" s="207"/>
      <c r="C1" s="207"/>
      <c r="D1" s="207"/>
      <c r="E1" s="207"/>
      <c r="F1" s="207"/>
    </row>
    <row r="2" spans="1:11" x14ac:dyDescent="0.25">
      <c r="B2" s="236" t="s">
        <v>188</v>
      </c>
      <c r="C2" s="237"/>
      <c r="D2" s="238"/>
      <c r="E2" s="236" t="s">
        <v>156</v>
      </c>
      <c r="F2" s="237"/>
      <c r="G2" s="238"/>
      <c r="H2" s="236" t="s">
        <v>151</v>
      </c>
      <c r="I2" s="237"/>
      <c r="J2" s="238"/>
    </row>
    <row r="3" spans="1:11" ht="90" x14ac:dyDescent="0.25">
      <c r="A3" s="40" t="s">
        <v>30</v>
      </c>
      <c r="B3" s="41" t="s">
        <v>47</v>
      </c>
      <c r="C3" s="41" t="s">
        <v>18</v>
      </c>
      <c r="D3" s="42" t="s">
        <v>19</v>
      </c>
      <c r="E3" s="41" t="s">
        <v>47</v>
      </c>
      <c r="F3" s="41" t="s">
        <v>18</v>
      </c>
      <c r="G3" s="42" t="s">
        <v>19</v>
      </c>
      <c r="H3" s="41" t="s">
        <v>47</v>
      </c>
      <c r="I3" s="41" t="s">
        <v>18</v>
      </c>
      <c r="J3" s="42" t="s">
        <v>19</v>
      </c>
      <c r="K3" s="74"/>
    </row>
    <row r="4" spans="1:11" x14ac:dyDescent="0.25">
      <c r="A4" s="108" t="s">
        <v>31</v>
      </c>
      <c r="B4" s="101">
        <f>51.6+35.9</f>
        <v>87.5</v>
      </c>
      <c r="C4" s="101">
        <f>35.9+51.6</f>
        <v>87.5</v>
      </c>
      <c r="D4" s="101">
        <f>56.3+39.1</f>
        <v>95.4</v>
      </c>
      <c r="E4" s="102">
        <f>37.5+51.8</f>
        <v>89.3</v>
      </c>
      <c r="F4" s="59">
        <f>33.9+58.9</f>
        <v>92.8</v>
      </c>
      <c r="G4" s="103">
        <f>46.4+42.9</f>
        <v>89.3</v>
      </c>
      <c r="H4" s="102">
        <f>45.5+47</f>
        <v>92.5</v>
      </c>
      <c r="I4" s="59">
        <f>27.3+62.1</f>
        <v>89.4</v>
      </c>
      <c r="J4" s="103">
        <f>43.9+40.9</f>
        <v>84.8</v>
      </c>
    </row>
    <row r="5" spans="1:11" x14ac:dyDescent="0.25">
      <c r="A5" s="108" t="s">
        <v>40</v>
      </c>
      <c r="B5" s="101">
        <f>43.3+50.2</f>
        <v>93.5</v>
      </c>
      <c r="C5" s="101">
        <f>25.5+61</f>
        <v>86.5</v>
      </c>
      <c r="D5" s="101">
        <f>35.9+35.9</f>
        <v>71.8</v>
      </c>
      <c r="E5" s="102">
        <f>40.2+51.5</f>
        <v>91.7</v>
      </c>
      <c r="F5" s="59">
        <f>22.8+60.2</f>
        <v>83</v>
      </c>
      <c r="G5" s="103">
        <f>24.5+54.8</f>
        <v>79.3</v>
      </c>
      <c r="H5" s="102">
        <f>48.9+44.4</f>
        <v>93.3</v>
      </c>
      <c r="I5" s="59">
        <f>23.9+63.3</f>
        <v>87.199999999999989</v>
      </c>
      <c r="J5" s="103">
        <f>37.2+50.6</f>
        <v>87.800000000000011</v>
      </c>
    </row>
    <row r="6" spans="1:11" x14ac:dyDescent="0.25">
      <c r="A6" s="108" t="s">
        <v>32</v>
      </c>
      <c r="B6" s="101">
        <f>55.5+38.9</f>
        <v>94.4</v>
      </c>
      <c r="C6" s="101">
        <f>30.1+61.6</f>
        <v>91.7</v>
      </c>
      <c r="D6" s="101">
        <f>52.8+37.1</f>
        <v>89.9</v>
      </c>
      <c r="E6" s="102">
        <f>42.9+49.8</f>
        <v>92.699999999999989</v>
      </c>
      <c r="F6" s="59">
        <f>19+70.6</f>
        <v>89.6</v>
      </c>
      <c r="G6" s="103">
        <f>40.7+51.5</f>
        <v>92.2</v>
      </c>
      <c r="H6" s="102">
        <f>41.9+47.6</f>
        <v>89.5</v>
      </c>
      <c r="I6" s="59">
        <f>19.8+68.1</f>
        <v>87.899999999999991</v>
      </c>
      <c r="J6" s="103">
        <f>39.1+51.2</f>
        <v>90.300000000000011</v>
      </c>
    </row>
    <row r="7" spans="1:11" ht="30" x14ac:dyDescent="0.25">
      <c r="A7" s="108" t="s">
        <v>45</v>
      </c>
      <c r="B7" s="101">
        <f>54.8+38.1</f>
        <v>92.9</v>
      </c>
      <c r="C7" s="101">
        <f>41.3+52.9</f>
        <v>94.199999999999989</v>
      </c>
      <c r="D7" s="101">
        <f>46.5+40.6</f>
        <v>87.1</v>
      </c>
      <c r="E7" s="102">
        <f>58.1+36</f>
        <v>94.1</v>
      </c>
      <c r="F7" s="59">
        <f>36+56.6</f>
        <v>92.6</v>
      </c>
      <c r="G7" s="103">
        <f>37.5+53.7</f>
        <v>91.2</v>
      </c>
      <c r="H7" s="102">
        <f>47.9+48.9</f>
        <v>96.8</v>
      </c>
      <c r="I7" s="59">
        <f>40.4+57.4</f>
        <v>97.8</v>
      </c>
      <c r="J7" s="103">
        <f>43.6+45.7</f>
        <v>89.300000000000011</v>
      </c>
    </row>
    <row r="8" spans="1:11" x14ac:dyDescent="0.25">
      <c r="A8" s="108" t="s">
        <v>33</v>
      </c>
      <c r="B8" s="101">
        <f>54.2+37.3</f>
        <v>91.5</v>
      </c>
      <c r="C8" s="101">
        <f>38.6+51.4</f>
        <v>90</v>
      </c>
      <c r="D8" s="101">
        <f>50.2+38.6</f>
        <v>88.800000000000011</v>
      </c>
      <c r="E8" s="102">
        <f>49.6+44.3</f>
        <v>93.9</v>
      </c>
      <c r="F8" s="59">
        <f>31.7+58.3</f>
        <v>90</v>
      </c>
      <c r="G8" s="103">
        <f>33.5+50.4</f>
        <v>83.9</v>
      </c>
      <c r="H8" s="102">
        <f>53+41</f>
        <v>94</v>
      </c>
      <c r="I8" s="59">
        <f>30.8+59</f>
        <v>89.8</v>
      </c>
      <c r="J8" s="103">
        <f>38+50.9</f>
        <v>88.9</v>
      </c>
    </row>
    <row r="9" spans="1:11" ht="30" x14ac:dyDescent="0.25">
      <c r="A9" s="108" t="s">
        <v>34</v>
      </c>
      <c r="B9" s="101">
        <f>33.3+57.6</f>
        <v>90.9</v>
      </c>
      <c r="C9" s="101">
        <f>26.1+66.7</f>
        <v>92.800000000000011</v>
      </c>
      <c r="D9" s="101">
        <f>30.9+49.1</f>
        <v>80</v>
      </c>
      <c r="E9" s="102">
        <f>35.3+56.1</f>
        <v>91.4</v>
      </c>
      <c r="F9" s="59">
        <f>28.1+65.5</f>
        <v>93.6</v>
      </c>
      <c r="G9" s="103">
        <f>29.5+49.6</f>
        <v>79.099999999999994</v>
      </c>
      <c r="H9" s="102">
        <f>30.7+60.8</f>
        <v>91.5</v>
      </c>
      <c r="I9" s="59">
        <f>24.8+65.4</f>
        <v>90.2</v>
      </c>
      <c r="J9" s="103">
        <f>22.2+50.3</f>
        <v>72.5</v>
      </c>
    </row>
    <row r="10" spans="1:11" x14ac:dyDescent="0.25">
      <c r="A10" s="108" t="s">
        <v>44</v>
      </c>
      <c r="B10" s="101">
        <f>41.5+48.1</f>
        <v>89.6</v>
      </c>
      <c r="C10" s="101">
        <f>30.4+64.4</f>
        <v>94.800000000000011</v>
      </c>
      <c r="D10" s="101">
        <f>43.7+39.3</f>
        <v>83</v>
      </c>
      <c r="E10" s="102">
        <f>39.6+49.6</f>
        <v>89.2</v>
      </c>
      <c r="F10" s="59">
        <f>23+67.6</f>
        <v>90.6</v>
      </c>
      <c r="G10" s="103">
        <f>23.7+59.7</f>
        <v>83.4</v>
      </c>
      <c r="H10" s="102">
        <f>39.2+52</f>
        <v>91.2</v>
      </c>
      <c r="I10" s="59">
        <f>25.6+68.8</f>
        <v>94.4</v>
      </c>
      <c r="J10" s="103">
        <f>27.2+56</f>
        <v>83.2</v>
      </c>
    </row>
    <row r="11" spans="1:11" ht="30" x14ac:dyDescent="0.25">
      <c r="A11" s="108" t="s">
        <v>46</v>
      </c>
      <c r="B11" s="101">
        <f>44.2+47</f>
        <v>91.2</v>
      </c>
      <c r="C11" s="101">
        <f>35+55.3</f>
        <v>90.3</v>
      </c>
      <c r="D11" s="101">
        <f>49.8+40.1</f>
        <v>89.9</v>
      </c>
      <c r="E11" s="102">
        <f>54.3+37.8</f>
        <v>92.1</v>
      </c>
      <c r="F11" s="59">
        <f>40.4+55.9</f>
        <v>96.3</v>
      </c>
      <c r="G11" s="103">
        <f>47.3+44.1</f>
        <v>91.4</v>
      </c>
      <c r="H11" s="102">
        <f>54+40.2</f>
        <v>94.2</v>
      </c>
      <c r="I11" s="59">
        <f>36.5+61.9</f>
        <v>98.4</v>
      </c>
      <c r="J11" s="103">
        <f>45.5+43.9</f>
        <v>89.4</v>
      </c>
    </row>
    <row r="12" spans="1:11" x14ac:dyDescent="0.25">
      <c r="A12" s="108" t="s">
        <v>35</v>
      </c>
      <c r="B12" s="101">
        <f>62.3+36.2</f>
        <v>98.5</v>
      </c>
      <c r="C12" s="101">
        <f>36.2+60.9</f>
        <v>97.1</v>
      </c>
      <c r="D12" s="101">
        <f>55.1+30.4</f>
        <v>85.5</v>
      </c>
      <c r="E12" s="102">
        <f>47.5+45.5</f>
        <v>93</v>
      </c>
      <c r="F12" s="59">
        <f>39.4+53.5</f>
        <v>92.9</v>
      </c>
      <c r="G12" s="104">
        <f>39.4+47.5</f>
        <v>86.9</v>
      </c>
      <c r="H12" s="102">
        <f>32.6+58.4</f>
        <v>91</v>
      </c>
      <c r="I12" s="59">
        <f>25.8+64</f>
        <v>89.8</v>
      </c>
      <c r="J12" s="104">
        <f>28.1+42.7</f>
        <v>70.800000000000011</v>
      </c>
    </row>
    <row r="13" spans="1:11" ht="18.75" customHeight="1" x14ac:dyDescent="0.25">
      <c r="A13" s="108" t="s">
        <v>41</v>
      </c>
      <c r="B13" s="101">
        <f>46.7+48.3</f>
        <v>95</v>
      </c>
      <c r="C13" s="101">
        <f>41.7+56.7</f>
        <v>98.4</v>
      </c>
      <c r="D13" s="101">
        <f>56.7+36.7</f>
        <v>93.4</v>
      </c>
      <c r="E13" s="102">
        <f>58.3+38.3</f>
        <v>96.6</v>
      </c>
      <c r="F13" s="59">
        <f>45+53.3</f>
        <v>98.3</v>
      </c>
      <c r="G13" s="103">
        <f>53.3+38.3</f>
        <v>91.6</v>
      </c>
      <c r="H13" s="102">
        <f>55.6+38.1</f>
        <v>93.7</v>
      </c>
      <c r="I13" s="59">
        <f>44.4+50.8</f>
        <v>95.199999999999989</v>
      </c>
      <c r="J13" s="103">
        <f>52.4+39.7</f>
        <v>92.1</v>
      </c>
    </row>
    <row r="14" spans="1:11" ht="27.75" customHeight="1" x14ac:dyDescent="0.25">
      <c r="A14" s="108" t="s">
        <v>36</v>
      </c>
      <c r="B14" s="101">
        <f>30.7+55.1</f>
        <v>85.8</v>
      </c>
      <c r="C14" s="101">
        <f>13.4+57.5</f>
        <v>70.900000000000006</v>
      </c>
      <c r="D14" s="101">
        <f>29.1+41.4</f>
        <v>70.5</v>
      </c>
      <c r="E14" s="102">
        <f>30.6+56.7</f>
        <v>87.300000000000011</v>
      </c>
      <c r="F14" s="59">
        <f>12.2+62.1</f>
        <v>74.3</v>
      </c>
      <c r="G14" s="104">
        <f>15.2+50.9</f>
        <v>66.099999999999994</v>
      </c>
      <c r="H14" s="102">
        <f>32.7+53.5</f>
        <v>86.2</v>
      </c>
      <c r="I14" s="59">
        <f>18.2+63.3</f>
        <v>81.5</v>
      </c>
      <c r="J14" s="104">
        <f>21.1+44.2</f>
        <v>65.300000000000011</v>
      </c>
    </row>
    <row r="15" spans="1:11" x14ac:dyDescent="0.25">
      <c r="A15" s="108" t="s">
        <v>42</v>
      </c>
      <c r="B15" s="101">
        <f>57.4+39</f>
        <v>96.4</v>
      </c>
      <c r="C15" s="101">
        <f>40.4+54.4</f>
        <v>94.8</v>
      </c>
      <c r="D15" s="101">
        <f>61+34.6</f>
        <v>95.6</v>
      </c>
      <c r="E15" s="102">
        <f>50.3+42.1</f>
        <v>92.4</v>
      </c>
      <c r="F15" s="59">
        <f>44.7+52.2</f>
        <v>96.9</v>
      </c>
      <c r="G15" s="103">
        <f>53.5+42.1</f>
        <v>95.6</v>
      </c>
      <c r="H15" s="102">
        <f>52+45.5</f>
        <v>97.5</v>
      </c>
      <c r="I15" s="59">
        <f>43.1+53.7</f>
        <v>96.800000000000011</v>
      </c>
      <c r="J15" s="103">
        <f>55.3+43.9</f>
        <v>99.199999999999989</v>
      </c>
    </row>
    <row r="16" spans="1:11" x14ac:dyDescent="0.25">
      <c r="A16" s="108" t="s">
        <v>43</v>
      </c>
      <c r="B16" s="101">
        <f>44.1+48.2</f>
        <v>92.300000000000011</v>
      </c>
      <c r="C16" s="101">
        <f>33.8+62.1</f>
        <v>95.9</v>
      </c>
      <c r="D16" s="101">
        <f>55.4+39</f>
        <v>94.4</v>
      </c>
      <c r="E16" s="102">
        <f>36+50</f>
        <v>86</v>
      </c>
      <c r="F16" s="59">
        <f>26.8+64</f>
        <v>90.8</v>
      </c>
      <c r="G16" s="103">
        <f>41.5+51.2</f>
        <v>92.7</v>
      </c>
      <c r="H16" s="102">
        <f>39.9+49</f>
        <v>88.9</v>
      </c>
      <c r="I16" s="59">
        <f>28.8+64.1</f>
        <v>92.899999999999991</v>
      </c>
      <c r="J16" s="103">
        <f>45.8+46.4</f>
        <v>92.199999999999989</v>
      </c>
    </row>
    <row r="17" spans="1:10" x14ac:dyDescent="0.25">
      <c r="A17" s="108" t="s">
        <v>37</v>
      </c>
      <c r="B17" s="101">
        <f>53.1+38.8</f>
        <v>91.9</v>
      </c>
      <c r="C17" s="101">
        <f>45.6+49</f>
        <v>94.6</v>
      </c>
      <c r="D17" s="101">
        <f>58.5+32</f>
        <v>90.5</v>
      </c>
      <c r="E17" s="102">
        <f>53.4+39.9</f>
        <v>93.3</v>
      </c>
      <c r="F17" s="59">
        <f>43.6+50.3</f>
        <v>93.9</v>
      </c>
      <c r="G17" s="104">
        <f>44.8+44.8</f>
        <v>89.6</v>
      </c>
      <c r="H17" s="102">
        <f>40.9+46.4</f>
        <v>87.3</v>
      </c>
      <c r="I17" s="59">
        <f>38.1+52.5</f>
        <v>90.6</v>
      </c>
      <c r="J17" s="104">
        <f>38.1+43.6</f>
        <v>81.7</v>
      </c>
    </row>
    <row r="18" spans="1:10" x14ac:dyDescent="0.25">
      <c r="A18" s="108" t="s">
        <v>38</v>
      </c>
      <c r="B18" s="101">
        <f>38.8+51.7</f>
        <v>90.5</v>
      </c>
      <c r="C18" s="101">
        <f>19.5+68</f>
        <v>87.5</v>
      </c>
      <c r="D18" s="101">
        <f>49.1+42.9</f>
        <v>92</v>
      </c>
      <c r="E18" s="102">
        <f>33.4+57</f>
        <v>90.4</v>
      </c>
      <c r="F18" s="59">
        <f>15.4+67.1</f>
        <v>82.5</v>
      </c>
      <c r="G18" s="103">
        <f>33.9+55.6</f>
        <v>89.5</v>
      </c>
      <c r="H18" s="102">
        <f>34.3+52.7</f>
        <v>87</v>
      </c>
      <c r="I18" s="59">
        <f>17.7+62.8</f>
        <v>80.5</v>
      </c>
      <c r="J18" s="103">
        <f>35.8+54</f>
        <v>89.8</v>
      </c>
    </row>
    <row r="19" spans="1:10" x14ac:dyDescent="0.25">
      <c r="A19" s="109" t="s">
        <v>39</v>
      </c>
      <c r="B19" s="105">
        <f>44.8+46.6</f>
        <v>91.4</v>
      </c>
      <c r="C19" s="106">
        <f>29.4+59.4</f>
        <v>88.8</v>
      </c>
      <c r="D19" s="107">
        <f>46.4+39.5</f>
        <v>85.9</v>
      </c>
      <c r="E19" s="105">
        <f>41.9+49.1</f>
        <v>91</v>
      </c>
      <c r="F19" s="106">
        <f>26.6+61.2</f>
        <v>87.800000000000011</v>
      </c>
      <c r="G19" s="107">
        <f>34.3+50.6</f>
        <v>84.9</v>
      </c>
      <c r="H19" s="105">
        <v>90.4</v>
      </c>
      <c r="I19" s="106">
        <v>88.6</v>
      </c>
      <c r="J19" s="107">
        <v>84.5</v>
      </c>
    </row>
    <row r="20" spans="1:10" x14ac:dyDescent="0.25">
      <c r="A20" s="109" t="s">
        <v>5</v>
      </c>
      <c r="B20" s="106">
        <f>41+49.1</f>
        <v>90.1</v>
      </c>
      <c r="C20" s="106">
        <f>25.3+62.5</f>
        <v>87.8</v>
      </c>
      <c r="D20" s="107">
        <f>41.5+43.1</f>
        <v>84.6</v>
      </c>
      <c r="E20" s="105">
        <f>38.4+50.5</f>
        <v>88.9</v>
      </c>
      <c r="F20" s="106">
        <f>23.2+63.2</f>
        <v>86.4</v>
      </c>
      <c r="G20" s="107">
        <v>82.7</v>
      </c>
      <c r="H20" s="106">
        <v>88.1</v>
      </c>
      <c r="I20" s="106">
        <v>85.5</v>
      </c>
      <c r="J20" s="107">
        <v>81.400000000000006</v>
      </c>
    </row>
    <row r="21" spans="1:10" x14ac:dyDescent="0.25">
      <c r="A21" s="210" t="s">
        <v>203</v>
      </c>
      <c r="B21" s="210"/>
      <c r="C21" s="210"/>
      <c r="D21" s="210"/>
      <c r="E21" s="210"/>
      <c r="F21" s="210"/>
    </row>
  </sheetData>
  <mergeCells count="5">
    <mergeCell ref="H2:J2"/>
    <mergeCell ref="E2:G2"/>
    <mergeCell ref="B2:D2"/>
    <mergeCell ref="A1:F1"/>
    <mergeCell ref="A21:F21"/>
  </mergeCells>
  <pageMargins left="0.7" right="0.7" top="0.75" bottom="0.75" header="0.3" footer="0.3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zoomScaleNormal="100" workbookViewId="0">
      <selection activeCell="C90" sqref="C90"/>
    </sheetView>
  </sheetViews>
  <sheetFormatPr defaultColWidth="9.140625" defaultRowHeight="15" x14ac:dyDescent="0.25"/>
  <cols>
    <col min="1" max="1" width="20" style="38" customWidth="1"/>
    <col min="2" max="2" width="13.42578125" style="38" customWidth="1"/>
    <col min="3" max="16384" width="9.140625" style="38"/>
  </cols>
  <sheetData>
    <row r="1" spans="1:15" ht="30" customHeight="1" x14ac:dyDescent="0.25">
      <c r="A1" s="246" t="s">
        <v>190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3" spans="1:15" ht="82.5" customHeight="1" x14ac:dyDescent="0.25">
      <c r="A3" s="242" t="s">
        <v>49</v>
      </c>
      <c r="B3" s="242" t="s">
        <v>50</v>
      </c>
      <c r="C3" s="239" t="s">
        <v>191</v>
      </c>
      <c r="D3" s="241"/>
      <c r="E3" s="239" t="s">
        <v>16</v>
      </c>
      <c r="F3" s="240"/>
      <c r="G3" s="241" t="s">
        <v>17</v>
      </c>
      <c r="H3" s="241"/>
      <c r="I3" s="239" t="s">
        <v>18</v>
      </c>
      <c r="J3" s="240"/>
      <c r="K3" s="241" t="s">
        <v>19</v>
      </c>
      <c r="L3" s="241"/>
      <c r="M3" s="239" t="s">
        <v>51</v>
      </c>
      <c r="N3" s="240"/>
    </row>
    <row r="4" spans="1:15" x14ac:dyDescent="0.25">
      <c r="A4" s="243"/>
      <c r="B4" s="243"/>
      <c r="C4" s="56" t="s">
        <v>4</v>
      </c>
      <c r="D4" s="57" t="s">
        <v>20</v>
      </c>
      <c r="E4" s="56" t="s">
        <v>4</v>
      </c>
      <c r="F4" s="58" t="s">
        <v>20</v>
      </c>
      <c r="G4" s="57" t="s">
        <v>4</v>
      </c>
      <c r="H4" s="57" t="s">
        <v>20</v>
      </c>
      <c r="I4" s="56" t="s">
        <v>4</v>
      </c>
      <c r="J4" s="58" t="s">
        <v>20</v>
      </c>
      <c r="K4" s="57" t="s">
        <v>4</v>
      </c>
      <c r="L4" s="57" t="s">
        <v>20</v>
      </c>
      <c r="M4" s="56" t="s">
        <v>4</v>
      </c>
      <c r="N4" s="58" t="s">
        <v>20</v>
      </c>
    </row>
    <row r="5" spans="1:15" x14ac:dyDescent="0.25">
      <c r="A5" s="111" t="s">
        <v>52</v>
      </c>
      <c r="B5" s="112" t="s">
        <v>53</v>
      </c>
      <c r="C5" s="113">
        <v>33</v>
      </c>
      <c r="D5" s="138">
        <v>2711</v>
      </c>
      <c r="E5" s="146">
        <v>100</v>
      </c>
      <c r="F5" s="149">
        <v>96.5</v>
      </c>
      <c r="G5" s="114">
        <f>30.3+63.6</f>
        <v>93.9</v>
      </c>
      <c r="H5" s="140">
        <f>43+51</f>
        <v>94</v>
      </c>
      <c r="I5" s="146">
        <f>21.2+75.8</f>
        <v>97</v>
      </c>
      <c r="J5" s="149">
        <f>21.8+68.6</f>
        <v>90.399999999999991</v>
      </c>
      <c r="K5" s="114">
        <f>27.3+45.5</f>
        <v>72.8</v>
      </c>
      <c r="L5" s="140">
        <f>36.1+46.2</f>
        <v>82.300000000000011</v>
      </c>
      <c r="M5" s="146">
        <v>81.8</v>
      </c>
      <c r="N5" s="144">
        <v>70.8</v>
      </c>
    </row>
    <row r="6" spans="1:15" x14ac:dyDescent="0.25">
      <c r="A6" s="111" t="s">
        <v>199</v>
      </c>
      <c r="B6" s="112" t="s">
        <v>54</v>
      </c>
      <c r="C6" s="113">
        <v>62</v>
      </c>
      <c r="D6" s="138">
        <v>2084</v>
      </c>
      <c r="E6" s="147">
        <v>93.5</v>
      </c>
      <c r="F6" s="149">
        <v>88.4</v>
      </c>
      <c r="G6" s="137">
        <f>74.1+24.1</f>
        <v>98.199999999999989</v>
      </c>
      <c r="H6" s="141">
        <f>43.2+48.3</f>
        <v>91.5</v>
      </c>
      <c r="I6" s="146">
        <f>81+19</f>
        <v>100</v>
      </c>
      <c r="J6" s="149">
        <f>28.2+61</f>
        <v>89.2</v>
      </c>
      <c r="K6" s="114">
        <f>74.1+24.1</f>
        <v>98.199999999999989</v>
      </c>
      <c r="L6" s="140">
        <f>40.4+44</f>
        <v>84.4</v>
      </c>
      <c r="M6" s="146">
        <v>89.7</v>
      </c>
      <c r="N6" s="144">
        <v>67.400000000000006</v>
      </c>
      <c r="O6" s="178"/>
    </row>
    <row r="7" spans="1:15" ht="45" x14ac:dyDescent="0.25">
      <c r="A7" s="111" t="s">
        <v>55</v>
      </c>
      <c r="B7" s="112" t="s">
        <v>56</v>
      </c>
      <c r="C7" s="113">
        <v>11</v>
      </c>
      <c r="D7" s="138">
        <v>2612</v>
      </c>
      <c r="E7" s="146">
        <v>100</v>
      </c>
      <c r="F7" s="149">
        <v>94.2</v>
      </c>
      <c r="G7" s="114">
        <f>0+18.2</f>
        <v>18.2</v>
      </c>
      <c r="H7" s="140">
        <f>41.6+46.6</f>
        <v>88.2</v>
      </c>
      <c r="I7" s="146">
        <f>0+36.4</f>
        <v>36.4</v>
      </c>
      <c r="J7" s="149">
        <f>29.4+61</f>
        <v>90.4</v>
      </c>
      <c r="K7" s="114">
        <f>9.1+63.6</f>
        <v>72.7</v>
      </c>
      <c r="L7" s="140">
        <f>46.2+40.1</f>
        <v>86.300000000000011</v>
      </c>
      <c r="M7" s="146">
        <v>18.2</v>
      </c>
      <c r="N7" s="144">
        <v>65.3</v>
      </c>
      <c r="O7" s="60"/>
    </row>
    <row r="8" spans="1:15" ht="30" x14ac:dyDescent="0.25">
      <c r="A8" s="111" t="s">
        <v>57</v>
      </c>
      <c r="B8" s="112" t="s">
        <v>58</v>
      </c>
      <c r="C8" s="113">
        <v>216</v>
      </c>
      <c r="D8" s="138">
        <v>17988</v>
      </c>
      <c r="E8" s="146">
        <v>94.4</v>
      </c>
      <c r="F8" s="149">
        <v>93.5</v>
      </c>
      <c r="G8" s="114">
        <f>34.3+57.4</f>
        <v>91.699999999999989</v>
      </c>
      <c r="H8" s="140">
        <f>38.1+52.6</f>
        <v>90.7</v>
      </c>
      <c r="I8" s="146">
        <f>13.2+77</f>
        <v>90.2</v>
      </c>
      <c r="J8" s="149">
        <f>19.4+65.9</f>
        <v>85.300000000000011</v>
      </c>
      <c r="K8" s="114">
        <f>42.2+47.5</f>
        <v>89.7</v>
      </c>
      <c r="L8" s="140">
        <f>40.6+47.4</f>
        <v>88</v>
      </c>
      <c r="M8" s="146">
        <v>73</v>
      </c>
      <c r="N8" s="144">
        <v>73.099999999999994</v>
      </c>
    </row>
    <row r="9" spans="1:15" ht="30" x14ac:dyDescent="0.25">
      <c r="A9" s="111" t="s">
        <v>175</v>
      </c>
      <c r="B9" s="112" t="s">
        <v>59</v>
      </c>
      <c r="C9" s="113">
        <v>7</v>
      </c>
      <c r="D9" s="138">
        <v>2108</v>
      </c>
      <c r="E9" s="146">
        <v>85.7</v>
      </c>
      <c r="F9" s="149">
        <v>96.1</v>
      </c>
      <c r="G9" s="114">
        <f>66.7+33.3</f>
        <v>100</v>
      </c>
      <c r="H9" s="143">
        <f>45.8+45.8</f>
        <v>91.6</v>
      </c>
      <c r="I9" s="146">
        <f>33.3+66.7</f>
        <v>100</v>
      </c>
      <c r="J9" s="144">
        <f>25.3+64.2</f>
        <v>89.5</v>
      </c>
      <c r="K9" s="114">
        <f>50+50</f>
        <v>100</v>
      </c>
      <c r="L9" s="143">
        <f>33.3+44.6</f>
        <v>77.900000000000006</v>
      </c>
      <c r="M9" s="146">
        <v>83.3</v>
      </c>
      <c r="N9" s="144">
        <v>81</v>
      </c>
    </row>
    <row r="10" spans="1:15" ht="60" x14ac:dyDescent="0.25">
      <c r="A10" s="111" t="s">
        <v>60</v>
      </c>
      <c r="B10" s="112" t="s">
        <v>61</v>
      </c>
      <c r="C10" s="113">
        <v>21</v>
      </c>
      <c r="D10" s="138">
        <v>4168</v>
      </c>
      <c r="E10" s="146">
        <v>100</v>
      </c>
      <c r="F10" s="149">
        <v>94.3</v>
      </c>
      <c r="G10" s="114">
        <f>33.3+57.1</f>
        <v>90.4</v>
      </c>
      <c r="H10" s="140">
        <f>33+52.5</f>
        <v>85.5</v>
      </c>
      <c r="I10" s="146">
        <f>4.8+90.5</f>
        <v>95.3</v>
      </c>
      <c r="J10" s="149">
        <f>22.3+64.6</f>
        <v>86.899999999999991</v>
      </c>
      <c r="K10" s="114">
        <f>33.3+42.9</f>
        <v>76.199999999999989</v>
      </c>
      <c r="L10" s="140">
        <f>36.9+43.4</f>
        <v>80.3</v>
      </c>
      <c r="M10" s="146">
        <v>85.7</v>
      </c>
      <c r="N10" s="144">
        <v>68.7</v>
      </c>
    </row>
    <row r="11" spans="1:15" ht="60" x14ac:dyDescent="0.25">
      <c r="A11" s="111" t="s">
        <v>63</v>
      </c>
      <c r="B11" s="112" t="s">
        <v>56</v>
      </c>
      <c r="C11" s="113">
        <v>11</v>
      </c>
      <c r="D11" s="138">
        <v>2612</v>
      </c>
      <c r="E11" s="146">
        <v>100</v>
      </c>
      <c r="F11" s="149">
        <v>94.2</v>
      </c>
      <c r="G11" s="114">
        <f>45.5+54.5</f>
        <v>100</v>
      </c>
      <c r="H11" s="140">
        <f>41.6+46.6</f>
        <v>88.2</v>
      </c>
      <c r="I11" s="146">
        <f>27.3+63.6</f>
        <v>90.9</v>
      </c>
      <c r="J11" s="149">
        <f>29.4+61</f>
        <v>90.4</v>
      </c>
      <c r="K11" s="114">
        <f>63.6+36.4</f>
        <v>100</v>
      </c>
      <c r="L11" s="140">
        <f>46.2+40.1</f>
        <v>86.300000000000011</v>
      </c>
      <c r="M11" s="146">
        <v>72.7</v>
      </c>
      <c r="N11" s="144">
        <v>65.3</v>
      </c>
    </row>
    <row r="12" spans="1:15" ht="60" x14ac:dyDescent="0.25">
      <c r="A12" s="111" t="s">
        <v>64</v>
      </c>
      <c r="B12" s="112" t="s">
        <v>65</v>
      </c>
      <c r="C12" s="113">
        <v>110</v>
      </c>
      <c r="D12" s="138">
        <v>11335</v>
      </c>
      <c r="E12" s="146">
        <v>99.1</v>
      </c>
      <c r="F12" s="149">
        <v>95.2</v>
      </c>
      <c r="G12" s="114">
        <f>40.4+52.3</f>
        <v>92.699999999999989</v>
      </c>
      <c r="H12" s="140">
        <f>41.6+46.6</f>
        <v>88.2</v>
      </c>
      <c r="I12" s="146">
        <f>20.2+59.6</f>
        <v>79.8</v>
      </c>
      <c r="J12" s="149">
        <f>29.3+59.9</f>
        <v>89.2</v>
      </c>
      <c r="K12" s="114">
        <f>34.9+36.7</f>
        <v>71.599999999999994</v>
      </c>
      <c r="L12" s="140">
        <f>35.8+40.5</f>
        <v>76.3</v>
      </c>
      <c r="M12" s="146">
        <v>59.6</v>
      </c>
      <c r="N12" s="144">
        <v>70.5</v>
      </c>
    </row>
    <row r="13" spans="1:15" ht="30" x14ac:dyDescent="0.25">
      <c r="A13" s="115" t="s">
        <v>66</v>
      </c>
      <c r="B13" s="116" t="s">
        <v>67</v>
      </c>
      <c r="C13" s="117">
        <v>56</v>
      </c>
      <c r="D13" s="139">
        <v>7290</v>
      </c>
      <c r="E13" s="148">
        <v>98.2</v>
      </c>
      <c r="F13" s="150">
        <v>95</v>
      </c>
      <c r="G13" s="118">
        <f>18.2+69.1</f>
        <v>87.3</v>
      </c>
      <c r="H13" s="142">
        <f>37.4+52.9</f>
        <v>90.3</v>
      </c>
      <c r="I13" s="148">
        <f>7.3+80</f>
        <v>87.3</v>
      </c>
      <c r="J13" s="150">
        <f>19.8+65.9</f>
        <v>85.7</v>
      </c>
      <c r="K13" s="118">
        <f>14.5+52.7</f>
        <v>67.2</v>
      </c>
      <c r="L13" s="142">
        <f>34.2+45.2</f>
        <v>79.400000000000006</v>
      </c>
      <c r="M13" s="148">
        <v>60</v>
      </c>
      <c r="N13" s="145">
        <v>74.599999999999994</v>
      </c>
    </row>
    <row r="14" spans="1:15" ht="57.75" customHeight="1" x14ac:dyDescent="0.25">
      <c r="A14" s="242" t="s">
        <v>49</v>
      </c>
      <c r="B14" s="242" t="s">
        <v>50</v>
      </c>
      <c r="C14" s="239" t="s">
        <v>191</v>
      </c>
      <c r="D14" s="241"/>
      <c r="E14" s="244" t="s">
        <v>16</v>
      </c>
      <c r="F14" s="245"/>
      <c r="G14" s="241" t="s">
        <v>17</v>
      </c>
      <c r="H14" s="241"/>
      <c r="I14" s="239" t="s">
        <v>18</v>
      </c>
      <c r="J14" s="240"/>
      <c r="K14" s="241" t="s">
        <v>19</v>
      </c>
      <c r="L14" s="241"/>
      <c r="M14" s="239" t="s">
        <v>51</v>
      </c>
      <c r="N14" s="240"/>
    </row>
    <row r="15" spans="1:15" x14ac:dyDescent="0.25">
      <c r="A15" s="243"/>
      <c r="B15" s="243"/>
      <c r="C15" s="56" t="s">
        <v>4</v>
      </c>
      <c r="D15" s="57" t="s">
        <v>20</v>
      </c>
      <c r="E15" s="151" t="s">
        <v>4</v>
      </c>
      <c r="F15" s="154" t="s">
        <v>20</v>
      </c>
      <c r="G15" s="57" t="s">
        <v>4</v>
      </c>
      <c r="H15" s="57" t="s">
        <v>20</v>
      </c>
      <c r="I15" s="56" t="s">
        <v>4</v>
      </c>
      <c r="J15" s="58" t="s">
        <v>20</v>
      </c>
      <c r="K15" s="57" t="s">
        <v>4</v>
      </c>
      <c r="L15" s="57" t="s">
        <v>20</v>
      </c>
      <c r="M15" s="56" t="s">
        <v>4</v>
      </c>
      <c r="N15" s="58" t="s">
        <v>20</v>
      </c>
    </row>
    <row r="16" spans="1:15" ht="45" x14ac:dyDescent="0.25">
      <c r="A16" s="111" t="s">
        <v>68</v>
      </c>
      <c r="B16" s="112" t="s">
        <v>67</v>
      </c>
      <c r="C16" s="113">
        <v>19</v>
      </c>
      <c r="D16" s="138">
        <v>7290</v>
      </c>
      <c r="E16" s="153">
        <v>100</v>
      </c>
      <c r="F16" s="149">
        <v>95</v>
      </c>
      <c r="G16" s="114">
        <f>21.1+73.7</f>
        <v>94.800000000000011</v>
      </c>
      <c r="H16" s="140">
        <f>37.4+52.9</f>
        <v>90.3</v>
      </c>
      <c r="I16" s="146">
        <f>5.3+89.5</f>
        <v>94.8</v>
      </c>
      <c r="J16" s="149">
        <f>19.8+65.9</f>
        <v>85.7</v>
      </c>
      <c r="K16" s="114">
        <f>15.8+57.9</f>
        <v>73.7</v>
      </c>
      <c r="L16" s="140">
        <f>34.2+45.2</f>
        <v>79.400000000000006</v>
      </c>
      <c r="M16" s="146">
        <v>78.900000000000006</v>
      </c>
      <c r="N16" s="144">
        <v>74.599999999999994</v>
      </c>
    </row>
    <row r="17" spans="1:15" ht="60" x14ac:dyDescent="0.25">
      <c r="A17" s="111" t="s">
        <v>69</v>
      </c>
      <c r="B17" s="112" t="s">
        <v>70</v>
      </c>
      <c r="C17" s="113">
        <v>95</v>
      </c>
      <c r="D17" s="138">
        <v>8662</v>
      </c>
      <c r="E17" s="146">
        <v>100</v>
      </c>
      <c r="F17" s="149">
        <v>95.3</v>
      </c>
      <c r="G17" s="114">
        <f>38.9+48.4</f>
        <v>87.3</v>
      </c>
      <c r="H17" s="140">
        <f>30.6+55.6</f>
        <v>86.2</v>
      </c>
      <c r="I17" s="146">
        <f>34.7+57.9</f>
        <v>92.6</v>
      </c>
      <c r="J17" s="149">
        <f>22.4+66.3</f>
        <v>88.699999999999989</v>
      </c>
      <c r="K17" s="114">
        <f>43.2+36.8</f>
        <v>80</v>
      </c>
      <c r="L17" s="140">
        <f>32.9+50.4</f>
        <v>83.3</v>
      </c>
      <c r="M17" s="146">
        <v>65.3</v>
      </c>
      <c r="N17" s="144">
        <v>59</v>
      </c>
    </row>
    <row r="18" spans="1:15" ht="60" x14ac:dyDescent="0.25">
      <c r="A18" s="111" t="s">
        <v>71</v>
      </c>
      <c r="B18" s="112" t="s">
        <v>61</v>
      </c>
      <c r="C18" s="113">
        <v>22</v>
      </c>
      <c r="D18" s="138">
        <v>4168</v>
      </c>
      <c r="E18" s="146">
        <v>100</v>
      </c>
      <c r="F18" s="149">
        <v>94.3</v>
      </c>
      <c r="G18" s="114">
        <f>9.1+86.4</f>
        <v>95.5</v>
      </c>
      <c r="H18" s="140">
        <f>33+52.5</f>
        <v>85.5</v>
      </c>
      <c r="I18" s="146">
        <f>4.5+72.7</f>
        <v>77.2</v>
      </c>
      <c r="J18" s="149">
        <f>22.3+64.6</f>
        <v>86.899999999999991</v>
      </c>
      <c r="K18" s="114">
        <f>31.8+63.6</f>
        <v>95.4</v>
      </c>
      <c r="L18" s="140">
        <f>36.9+43.4</f>
        <v>80.3</v>
      </c>
      <c r="M18" s="146">
        <v>59.1</v>
      </c>
      <c r="N18" s="144">
        <v>68.7</v>
      </c>
      <c r="O18" s="60"/>
    </row>
    <row r="19" spans="1:15" x14ac:dyDescent="0.25">
      <c r="A19" s="111" t="s">
        <v>72</v>
      </c>
      <c r="B19" s="112" t="s">
        <v>73</v>
      </c>
      <c r="C19" s="113">
        <v>17</v>
      </c>
      <c r="D19" s="138">
        <v>1434</v>
      </c>
      <c r="E19" s="146">
        <v>100</v>
      </c>
      <c r="F19" s="149">
        <v>96</v>
      </c>
      <c r="G19" s="114">
        <f>23.5+70.6</f>
        <v>94.1</v>
      </c>
      <c r="H19" s="140">
        <f>48.7+45</f>
        <v>93.7</v>
      </c>
      <c r="I19" s="146">
        <f>41.2+58.8</f>
        <v>100</v>
      </c>
      <c r="J19" s="149">
        <f>27.9+61.3</f>
        <v>89.199999999999989</v>
      </c>
      <c r="K19" s="114">
        <f>41.2+41.2</f>
        <v>82.4</v>
      </c>
      <c r="L19" s="140">
        <f>36.7+43.1</f>
        <v>79.800000000000011</v>
      </c>
      <c r="M19" s="146">
        <v>76.5</v>
      </c>
      <c r="N19" s="144">
        <v>82.6</v>
      </c>
    </row>
    <row r="20" spans="1:15" ht="120" x14ac:dyDescent="0.25">
      <c r="A20" s="111" t="s">
        <v>74</v>
      </c>
      <c r="B20" s="112" t="s">
        <v>61</v>
      </c>
      <c r="C20" s="119">
        <v>4</v>
      </c>
      <c r="D20" s="138">
        <v>4168</v>
      </c>
      <c r="E20" s="146">
        <v>100</v>
      </c>
      <c r="F20" s="149">
        <v>94.3</v>
      </c>
      <c r="G20" s="177" t="s">
        <v>197</v>
      </c>
      <c r="H20" s="140">
        <f>33+52.5</f>
        <v>85.5</v>
      </c>
      <c r="I20" s="179" t="s">
        <v>197</v>
      </c>
      <c r="J20" s="149">
        <f>22.3+64.6</f>
        <v>86.899999999999991</v>
      </c>
      <c r="K20" s="177" t="s">
        <v>197</v>
      </c>
      <c r="L20" s="149">
        <f>36.9+43.4</f>
        <v>80.3</v>
      </c>
      <c r="M20" s="177" t="s">
        <v>197</v>
      </c>
      <c r="N20" s="144">
        <v>68.7</v>
      </c>
    </row>
    <row r="21" spans="1:15" ht="60" x14ac:dyDescent="0.25">
      <c r="A21" s="111" t="s">
        <v>75</v>
      </c>
      <c r="B21" s="112" t="s">
        <v>65</v>
      </c>
      <c r="C21" s="113">
        <v>12</v>
      </c>
      <c r="D21" s="138">
        <v>11335</v>
      </c>
      <c r="E21" s="146">
        <v>100</v>
      </c>
      <c r="F21" s="149">
        <v>95.2</v>
      </c>
      <c r="G21" s="114">
        <f>58.3+41.7</f>
        <v>100</v>
      </c>
      <c r="H21" s="140">
        <f>41.6+46.6</f>
        <v>88.2</v>
      </c>
      <c r="I21" s="146">
        <f>25+75</f>
        <v>100</v>
      </c>
      <c r="J21" s="149">
        <f>29.3+59.9</f>
        <v>89.2</v>
      </c>
      <c r="K21" s="114">
        <f>50+33.3</f>
        <v>83.3</v>
      </c>
      <c r="L21" s="140">
        <f>35.8+40.5</f>
        <v>76.3</v>
      </c>
      <c r="M21" s="146">
        <v>83.3</v>
      </c>
      <c r="N21" s="144">
        <v>70.5</v>
      </c>
    </row>
    <row r="22" spans="1:15" ht="30" x14ac:dyDescent="0.25">
      <c r="A22" s="111" t="s">
        <v>76</v>
      </c>
      <c r="B22" s="112" t="s">
        <v>77</v>
      </c>
      <c r="C22" s="113">
        <v>18</v>
      </c>
      <c r="D22" s="138">
        <v>1251</v>
      </c>
      <c r="E22" s="146">
        <v>100</v>
      </c>
      <c r="F22" s="149">
        <v>95.4</v>
      </c>
      <c r="G22" s="114">
        <f>44.4+50</f>
        <v>94.4</v>
      </c>
      <c r="H22" s="140">
        <f>39.5+52.3</f>
        <v>91.8</v>
      </c>
      <c r="I22" s="146">
        <f>38.9+61.1</f>
        <v>100</v>
      </c>
      <c r="J22" s="149">
        <f>25.8+65.9</f>
        <v>91.7</v>
      </c>
      <c r="K22" s="114">
        <f>55.6+44.4</f>
        <v>100</v>
      </c>
      <c r="L22" s="140">
        <f>39.9+44.4</f>
        <v>84.3</v>
      </c>
      <c r="M22" s="146">
        <v>83.3</v>
      </c>
      <c r="N22" s="144">
        <v>67.599999999999994</v>
      </c>
    </row>
    <row r="23" spans="1:15" x14ac:dyDescent="0.25">
      <c r="A23" s="111" t="s">
        <v>78</v>
      </c>
      <c r="B23" s="112" t="s">
        <v>79</v>
      </c>
      <c r="C23" s="113">
        <v>42</v>
      </c>
      <c r="D23" s="138">
        <v>4194</v>
      </c>
      <c r="E23" s="146">
        <v>100</v>
      </c>
      <c r="F23" s="149">
        <v>96.2</v>
      </c>
      <c r="G23" s="114">
        <f>59.5+40.5</f>
        <v>100</v>
      </c>
      <c r="H23" s="140">
        <f>40.6+51.7</f>
        <v>92.300000000000011</v>
      </c>
      <c r="I23" s="146">
        <f>23.8+71.4</f>
        <v>95.2</v>
      </c>
      <c r="J23" s="149">
        <f>20.8+68.6</f>
        <v>89.399999999999991</v>
      </c>
      <c r="K23" s="114">
        <f>47.6+31</f>
        <v>78.599999999999994</v>
      </c>
      <c r="L23" s="140">
        <f>35.1+46.1</f>
        <v>81.2</v>
      </c>
      <c r="M23" s="146">
        <v>69</v>
      </c>
      <c r="N23" s="144">
        <v>71.900000000000006</v>
      </c>
    </row>
    <row r="24" spans="1:15" x14ac:dyDescent="0.25">
      <c r="A24" s="111" t="s">
        <v>80</v>
      </c>
      <c r="B24" s="112" t="s">
        <v>81</v>
      </c>
      <c r="C24" s="113">
        <v>34</v>
      </c>
      <c r="D24" s="138">
        <v>2047</v>
      </c>
      <c r="E24" s="146">
        <v>100</v>
      </c>
      <c r="F24" s="149">
        <v>96.4</v>
      </c>
      <c r="G24" s="114">
        <f>55.9+38.2</f>
        <v>94.1</v>
      </c>
      <c r="H24" s="140">
        <f>46.4+47.1</f>
        <v>93.5</v>
      </c>
      <c r="I24" s="146">
        <f>44.1+38.2</f>
        <v>82.300000000000011</v>
      </c>
      <c r="J24" s="149">
        <f>25.6+66</f>
        <v>91.6</v>
      </c>
      <c r="K24" s="114">
        <f>50+29.4</f>
        <v>79.400000000000006</v>
      </c>
      <c r="L24" s="140">
        <f>36.7+43</f>
        <v>79.7</v>
      </c>
      <c r="M24" s="146">
        <v>82.4</v>
      </c>
      <c r="N24" s="144">
        <v>79.900000000000006</v>
      </c>
    </row>
    <row r="25" spans="1:15" x14ac:dyDescent="0.25">
      <c r="A25" s="111" t="s">
        <v>152</v>
      </c>
      <c r="B25" s="112" t="s">
        <v>62</v>
      </c>
      <c r="C25" s="113">
        <v>6</v>
      </c>
      <c r="D25" s="138">
        <v>757</v>
      </c>
      <c r="E25" s="146">
        <v>100</v>
      </c>
      <c r="F25" s="149">
        <v>94.2</v>
      </c>
      <c r="G25" s="114">
        <f>83.3+16.7</f>
        <v>100</v>
      </c>
      <c r="H25" s="140">
        <f>50.5+44.5</f>
        <v>95</v>
      </c>
      <c r="I25" s="146">
        <f>83.3+16.7</f>
        <v>100</v>
      </c>
      <c r="J25" s="149">
        <f>33.4+59.5</f>
        <v>92.9</v>
      </c>
      <c r="K25" s="114">
        <f>50+50</f>
        <v>100</v>
      </c>
      <c r="L25" s="140">
        <f>48.1+40.8</f>
        <v>88.9</v>
      </c>
      <c r="M25" s="146">
        <v>100</v>
      </c>
      <c r="N25" s="144">
        <v>80.900000000000006</v>
      </c>
    </row>
    <row r="26" spans="1:15" ht="30" x14ac:dyDescent="0.25">
      <c r="A26" s="115" t="s">
        <v>82</v>
      </c>
      <c r="B26" s="116" t="s">
        <v>83</v>
      </c>
      <c r="C26" s="117">
        <v>53</v>
      </c>
      <c r="D26" s="139">
        <v>2363</v>
      </c>
      <c r="E26" s="148">
        <v>96.2</v>
      </c>
      <c r="F26" s="150">
        <v>93.7</v>
      </c>
      <c r="G26" s="118">
        <f>54.9+39.2</f>
        <v>94.1</v>
      </c>
      <c r="H26" s="142">
        <f>49.9+44.1</f>
        <v>94</v>
      </c>
      <c r="I26" s="148">
        <f>35.3+60.8</f>
        <v>96.1</v>
      </c>
      <c r="J26" s="150">
        <f>30.2+61.6</f>
        <v>91.8</v>
      </c>
      <c r="K26" s="118">
        <f>70.6+25.5</f>
        <v>96.1</v>
      </c>
      <c r="L26" s="142">
        <f>47.9+42.2</f>
        <v>90.1</v>
      </c>
      <c r="M26" s="148">
        <v>68.599999999999994</v>
      </c>
      <c r="N26" s="145">
        <v>74.2</v>
      </c>
    </row>
    <row r="27" spans="1:15" ht="57.75" customHeight="1" x14ac:dyDescent="0.25">
      <c r="A27" s="242" t="s">
        <v>49</v>
      </c>
      <c r="B27" s="242" t="s">
        <v>50</v>
      </c>
      <c r="C27" s="239" t="s">
        <v>191</v>
      </c>
      <c r="D27" s="241"/>
      <c r="E27" s="244" t="s">
        <v>16</v>
      </c>
      <c r="F27" s="245"/>
      <c r="G27" s="241" t="s">
        <v>17</v>
      </c>
      <c r="H27" s="241"/>
      <c r="I27" s="239" t="s">
        <v>18</v>
      </c>
      <c r="J27" s="240"/>
      <c r="K27" s="241" t="s">
        <v>19</v>
      </c>
      <c r="L27" s="241"/>
      <c r="M27" s="239" t="s">
        <v>51</v>
      </c>
      <c r="N27" s="240"/>
    </row>
    <row r="28" spans="1:15" x14ac:dyDescent="0.25">
      <c r="A28" s="243"/>
      <c r="B28" s="243"/>
      <c r="C28" s="56" t="s">
        <v>4</v>
      </c>
      <c r="D28" s="57" t="s">
        <v>20</v>
      </c>
      <c r="E28" s="151" t="s">
        <v>4</v>
      </c>
      <c r="F28" s="154" t="s">
        <v>20</v>
      </c>
      <c r="G28" s="57" t="s">
        <v>4</v>
      </c>
      <c r="H28" s="57" t="s">
        <v>20</v>
      </c>
      <c r="I28" s="56" t="s">
        <v>4</v>
      </c>
      <c r="J28" s="58" t="s">
        <v>20</v>
      </c>
      <c r="K28" s="57" t="s">
        <v>4</v>
      </c>
      <c r="L28" s="57" t="s">
        <v>20</v>
      </c>
      <c r="M28" s="56" t="s">
        <v>4</v>
      </c>
      <c r="N28" s="58" t="s">
        <v>20</v>
      </c>
    </row>
    <row r="29" spans="1:15" ht="30" x14ac:dyDescent="0.25">
      <c r="A29" s="111" t="s">
        <v>84</v>
      </c>
      <c r="B29" s="112" t="s">
        <v>85</v>
      </c>
      <c r="C29" s="113">
        <v>71</v>
      </c>
      <c r="D29" s="138">
        <v>6693</v>
      </c>
      <c r="E29" s="146">
        <v>97.2</v>
      </c>
      <c r="F29" s="149">
        <v>93.8</v>
      </c>
      <c r="G29" s="114">
        <f>33.3+59.4</f>
        <v>92.699999999999989</v>
      </c>
      <c r="H29" s="140">
        <f>35.1+52.4</f>
        <v>87.5</v>
      </c>
      <c r="I29" s="146">
        <f>14.5+82.6</f>
        <v>97.1</v>
      </c>
      <c r="J29" s="149">
        <f>22.5+67.6</f>
        <v>90.1</v>
      </c>
      <c r="K29" s="114">
        <f>42+52.2</f>
        <v>94.2</v>
      </c>
      <c r="L29" s="140">
        <f>46.1+45.1</f>
        <v>91.2</v>
      </c>
      <c r="M29" s="146">
        <v>69.599999999999994</v>
      </c>
      <c r="N29" s="144">
        <v>64.5</v>
      </c>
    </row>
    <row r="30" spans="1:15" ht="45" x14ac:dyDescent="0.25">
      <c r="A30" s="111" t="s">
        <v>86</v>
      </c>
      <c r="B30" s="112" t="s">
        <v>87</v>
      </c>
      <c r="C30" s="113">
        <v>103</v>
      </c>
      <c r="D30" s="138">
        <v>7723</v>
      </c>
      <c r="E30" s="146">
        <v>96.1</v>
      </c>
      <c r="F30" s="149">
        <v>94</v>
      </c>
      <c r="G30" s="114">
        <f>48.5+46.5</f>
        <v>95</v>
      </c>
      <c r="H30" s="140">
        <f>49.5+44.5</f>
        <v>94</v>
      </c>
      <c r="I30" s="146">
        <f>31.3+54.5</f>
        <v>85.8</v>
      </c>
      <c r="J30" s="149">
        <f>27.7+64.3</f>
        <v>92</v>
      </c>
      <c r="K30" s="114">
        <f>51.5+46.5</f>
        <v>98</v>
      </c>
      <c r="L30" s="140">
        <f>46.8+45.4</f>
        <v>92.199999999999989</v>
      </c>
      <c r="M30" s="146">
        <v>85.9</v>
      </c>
      <c r="N30" s="144">
        <v>75</v>
      </c>
    </row>
    <row r="31" spans="1:15" ht="30" x14ac:dyDescent="0.25">
      <c r="A31" s="111" t="s">
        <v>88</v>
      </c>
      <c r="B31" s="112" t="s">
        <v>89</v>
      </c>
      <c r="C31" s="113">
        <v>160</v>
      </c>
      <c r="D31" s="138">
        <v>6376</v>
      </c>
      <c r="E31" s="146">
        <v>91.9</v>
      </c>
      <c r="F31" s="149">
        <v>92.4</v>
      </c>
      <c r="G31" s="114">
        <f>59.2+35.4</f>
        <v>94.6</v>
      </c>
      <c r="H31" s="140">
        <f>36.4+53.6</f>
        <v>90</v>
      </c>
      <c r="I31" s="146">
        <f>27.9+63.3</f>
        <v>91.199999999999989</v>
      </c>
      <c r="J31" s="149">
        <f>17.9+67.3</f>
        <v>85.199999999999989</v>
      </c>
      <c r="K31" s="114">
        <f>53.1+37.4</f>
        <v>90.5</v>
      </c>
      <c r="L31" s="140">
        <f>38.1+48.1</f>
        <v>86.2</v>
      </c>
      <c r="M31" s="146">
        <v>81</v>
      </c>
      <c r="N31" s="144">
        <v>68.400000000000006</v>
      </c>
    </row>
    <row r="32" spans="1:15" x14ac:dyDescent="0.25">
      <c r="A32" s="111" t="s">
        <v>90</v>
      </c>
      <c r="B32" s="112" t="s">
        <v>91</v>
      </c>
      <c r="C32" s="113">
        <v>74</v>
      </c>
      <c r="D32" s="138">
        <v>5890</v>
      </c>
      <c r="E32" s="146">
        <v>91.9</v>
      </c>
      <c r="F32" s="149">
        <v>91.6</v>
      </c>
      <c r="G32" s="114">
        <f>54.4+41.2</f>
        <v>95.6</v>
      </c>
      <c r="H32" s="140">
        <f>38.6+51.7</f>
        <v>90.300000000000011</v>
      </c>
      <c r="I32" s="146">
        <f>29.4+64.7</f>
        <v>94.1</v>
      </c>
      <c r="J32" s="149">
        <f>23.9+64.1</f>
        <v>88</v>
      </c>
      <c r="K32" s="114">
        <f>52.9+44.1</f>
        <v>97</v>
      </c>
      <c r="L32" s="140">
        <f>43.5+45.7</f>
        <v>89.2</v>
      </c>
      <c r="M32" s="146">
        <v>79.400000000000006</v>
      </c>
      <c r="N32" s="144">
        <v>65.5</v>
      </c>
    </row>
    <row r="33" spans="1:15" ht="38.25" customHeight="1" x14ac:dyDescent="0.25">
      <c r="A33" s="120" t="s">
        <v>92</v>
      </c>
      <c r="B33" s="120" t="s">
        <v>93</v>
      </c>
      <c r="C33" s="113">
        <v>72</v>
      </c>
      <c r="D33" s="138">
        <v>3277</v>
      </c>
      <c r="E33" s="146">
        <v>95.8</v>
      </c>
      <c r="F33" s="149">
        <v>94.7</v>
      </c>
      <c r="G33" s="114">
        <f>63.8+29</f>
        <v>92.8</v>
      </c>
      <c r="H33" s="140">
        <f>44.2+46.5</f>
        <v>90.7</v>
      </c>
      <c r="I33" s="146">
        <f>36.2+58</f>
        <v>94.2</v>
      </c>
      <c r="J33" s="149">
        <f>28.1+63.1</f>
        <v>91.2</v>
      </c>
      <c r="K33" s="114">
        <f>55.1+36.2</f>
        <v>91.300000000000011</v>
      </c>
      <c r="L33" s="140">
        <f>40.6+46.3</f>
        <v>86.9</v>
      </c>
      <c r="M33" s="146">
        <v>75.400000000000006</v>
      </c>
      <c r="N33" s="144">
        <v>68.900000000000006</v>
      </c>
    </row>
    <row r="34" spans="1:15" ht="30" x14ac:dyDescent="0.25">
      <c r="A34" s="111" t="s">
        <v>94</v>
      </c>
      <c r="B34" s="112" t="s">
        <v>95</v>
      </c>
      <c r="C34" s="113">
        <v>123</v>
      </c>
      <c r="D34" s="138">
        <v>5421</v>
      </c>
      <c r="E34" s="146">
        <v>99.2</v>
      </c>
      <c r="F34" s="149">
        <v>94.3</v>
      </c>
      <c r="G34" s="114">
        <f>51.6+41.8</f>
        <v>93.4</v>
      </c>
      <c r="H34" s="140">
        <f>45+45.8</f>
        <v>90.8</v>
      </c>
      <c r="I34" s="146">
        <f>31.1+63.9</f>
        <v>95</v>
      </c>
      <c r="J34" s="149">
        <f>27+62.5</f>
        <v>89.5</v>
      </c>
      <c r="K34" s="114">
        <f>43.4+42.6</f>
        <v>86</v>
      </c>
      <c r="L34" s="140">
        <f>37.4+46.2</f>
        <v>83.6</v>
      </c>
      <c r="M34" s="146">
        <v>78.7</v>
      </c>
      <c r="N34" s="144">
        <v>74.8</v>
      </c>
    </row>
    <row r="35" spans="1:15" ht="150" x14ac:dyDescent="0.25">
      <c r="A35" s="115" t="s">
        <v>96</v>
      </c>
      <c r="B35" s="116" t="s">
        <v>97</v>
      </c>
      <c r="C35" s="121">
        <v>18</v>
      </c>
      <c r="D35" s="139">
        <v>643</v>
      </c>
      <c r="E35" s="152">
        <v>100</v>
      </c>
      <c r="F35" s="150">
        <v>94.7</v>
      </c>
      <c r="G35" s="118">
        <f>44.4+38.9</f>
        <v>83.3</v>
      </c>
      <c r="H35" s="142">
        <f>45.8+43.7</f>
        <v>89.5</v>
      </c>
      <c r="I35" s="148">
        <f>33.3+55.6</f>
        <v>88.9</v>
      </c>
      <c r="J35" s="150">
        <f>34.3+59.3</f>
        <v>93.6</v>
      </c>
      <c r="K35" s="118">
        <f>66.7+11.1</f>
        <v>77.8</v>
      </c>
      <c r="L35" s="142">
        <f>48.4+39.6</f>
        <v>88</v>
      </c>
      <c r="M35" s="148">
        <v>88.9</v>
      </c>
      <c r="N35" s="145">
        <v>68.3</v>
      </c>
    </row>
    <row r="36" spans="1:15" ht="105.75" customHeight="1" x14ac:dyDescent="0.25">
      <c r="A36" s="242" t="s">
        <v>49</v>
      </c>
      <c r="B36" s="242" t="s">
        <v>50</v>
      </c>
      <c r="C36" s="239" t="s">
        <v>191</v>
      </c>
      <c r="D36" s="241"/>
      <c r="E36" s="244" t="s">
        <v>16</v>
      </c>
      <c r="F36" s="245"/>
      <c r="G36" s="241" t="s">
        <v>17</v>
      </c>
      <c r="H36" s="241"/>
      <c r="I36" s="239" t="s">
        <v>18</v>
      </c>
      <c r="J36" s="240"/>
      <c r="K36" s="241" t="s">
        <v>19</v>
      </c>
      <c r="L36" s="241"/>
      <c r="M36" s="239" t="s">
        <v>51</v>
      </c>
      <c r="N36" s="240"/>
    </row>
    <row r="37" spans="1:15" x14ac:dyDescent="0.25">
      <c r="A37" s="243"/>
      <c r="B37" s="243"/>
      <c r="C37" s="56" t="s">
        <v>4</v>
      </c>
      <c r="D37" s="57" t="s">
        <v>20</v>
      </c>
      <c r="E37" s="151" t="s">
        <v>4</v>
      </c>
      <c r="F37" s="154" t="s">
        <v>20</v>
      </c>
      <c r="G37" s="57" t="s">
        <v>4</v>
      </c>
      <c r="H37" s="57" t="s">
        <v>20</v>
      </c>
      <c r="I37" s="56" t="s">
        <v>4</v>
      </c>
      <c r="J37" s="58" t="s">
        <v>20</v>
      </c>
      <c r="K37" s="57" t="s">
        <v>4</v>
      </c>
      <c r="L37" s="57" t="s">
        <v>20</v>
      </c>
      <c r="M37" s="56" t="s">
        <v>4</v>
      </c>
      <c r="N37" s="58" t="s">
        <v>20</v>
      </c>
    </row>
    <row r="38" spans="1:15" ht="180" x14ac:dyDescent="0.25">
      <c r="A38" s="111" t="s">
        <v>201</v>
      </c>
      <c r="B38" s="112" t="s">
        <v>56</v>
      </c>
      <c r="C38" s="113">
        <v>9</v>
      </c>
      <c r="D38" s="138">
        <v>2612</v>
      </c>
      <c r="E38" s="146">
        <v>100</v>
      </c>
      <c r="F38" s="149">
        <v>94.2</v>
      </c>
      <c r="G38" s="114">
        <f>55.6+33.3</f>
        <v>88.9</v>
      </c>
      <c r="H38" s="140">
        <f t="shared" ref="H38:H40" si="0">41.6+46.6</f>
        <v>88.2</v>
      </c>
      <c r="I38" s="146">
        <f>66.7+33.3</f>
        <v>100</v>
      </c>
      <c r="J38" s="149">
        <f t="shared" ref="J38:J40" si="1">29.4+61</f>
        <v>90.4</v>
      </c>
      <c r="K38" s="114">
        <f>66.7+33.3</f>
        <v>100</v>
      </c>
      <c r="L38" s="140">
        <f t="shared" ref="L38:L40" si="2">46.2+40.1</f>
        <v>86.300000000000011</v>
      </c>
      <c r="M38" s="146">
        <v>44.4</v>
      </c>
      <c r="N38" s="144">
        <v>65.3</v>
      </c>
    </row>
    <row r="39" spans="1:15" ht="120" x14ac:dyDescent="0.25">
      <c r="A39" s="111" t="s">
        <v>98</v>
      </c>
      <c r="B39" s="112" t="s">
        <v>56</v>
      </c>
      <c r="C39" s="113">
        <v>12</v>
      </c>
      <c r="D39" s="138">
        <v>2612</v>
      </c>
      <c r="E39" s="146">
        <v>100</v>
      </c>
      <c r="F39" s="149">
        <v>94.2</v>
      </c>
      <c r="G39" s="114">
        <f>66.7+33.3</f>
        <v>100</v>
      </c>
      <c r="H39" s="140">
        <f t="shared" si="0"/>
        <v>88.2</v>
      </c>
      <c r="I39" s="146">
        <f>25+75</f>
        <v>100</v>
      </c>
      <c r="J39" s="149">
        <f t="shared" si="1"/>
        <v>90.4</v>
      </c>
      <c r="K39" s="114">
        <f>50+50</f>
        <v>100</v>
      </c>
      <c r="L39" s="140">
        <f t="shared" si="2"/>
        <v>86.300000000000011</v>
      </c>
      <c r="M39" s="146">
        <v>83.3</v>
      </c>
      <c r="N39" s="144">
        <v>65.3</v>
      </c>
    </row>
    <row r="40" spans="1:15" ht="120" x14ac:dyDescent="0.25">
      <c r="A40" s="115" t="s">
        <v>154</v>
      </c>
      <c r="B40" s="116" t="s">
        <v>56</v>
      </c>
      <c r="C40" s="117">
        <v>13</v>
      </c>
      <c r="D40" s="139">
        <v>2612</v>
      </c>
      <c r="E40" s="148">
        <v>100</v>
      </c>
      <c r="F40" s="150">
        <v>94.2</v>
      </c>
      <c r="G40" s="118">
        <f>30.8+53.8</f>
        <v>84.6</v>
      </c>
      <c r="H40" s="142">
        <f t="shared" si="0"/>
        <v>88.2</v>
      </c>
      <c r="I40" s="148">
        <f>15.4+61.4</f>
        <v>76.8</v>
      </c>
      <c r="J40" s="150">
        <f t="shared" si="1"/>
        <v>90.4</v>
      </c>
      <c r="K40" s="118">
        <f>46.2+15.4</f>
        <v>61.6</v>
      </c>
      <c r="L40" s="142">
        <f t="shared" si="2"/>
        <v>86.300000000000011</v>
      </c>
      <c r="M40" s="148">
        <v>38.5</v>
      </c>
      <c r="N40" s="145">
        <v>65.3</v>
      </c>
      <c r="O40" s="60"/>
    </row>
    <row r="41" spans="1:15" ht="76.5" customHeight="1" x14ac:dyDescent="0.25">
      <c r="A41" s="242" t="s">
        <v>49</v>
      </c>
      <c r="B41" s="242" t="s">
        <v>50</v>
      </c>
      <c r="C41" s="239" t="s">
        <v>191</v>
      </c>
      <c r="D41" s="241"/>
      <c r="E41" s="244" t="s">
        <v>16</v>
      </c>
      <c r="F41" s="245"/>
      <c r="G41" s="241" t="s">
        <v>17</v>
      </c>
      <c r="H41" s="241"/>
      <c r="I41" s="239" t="s">
        <v>18</v>
      </c>
      <c r="J41" s="240"/>
      <c r="K41" s="241" t="s">
        <v>19</v>
      </c>
      <c r="L41" s="241"/>
      <c r="M41" s="239" t="s">
        <v>51</v>
      </c>
      <c r="N41" s="240"/>
    </row>
    <row r="42" spans="1:15" x14ac:dyDescent="0.25">
      <c r="A42" s="243"/>
      <c r="B42" s="243"/>
      <c r="C42" s="56" t="s">
        <v>4</v>
      </c>
      <c r="D42" s="57" t="s">
        <v>20</v>
      </c>
      <c r="E42" s="151" t="s">
        <v>4</v>
      </c>
      <c r="F42" s="154" t="s">
        <v>20</v>
      </c>
      <c r="G42" s="57" t="s">
        <v>4</v>
      </c>
      <c r="H42" s="57" t="s">
        <v>20</v>
      </c>
      <c r="I42" s="56" t="s">
        <v>4</v>
      </c>
      <c r="J42" s="58" t="s">
        <v>20</v>
      </c>
      <c r="K42" s="57" t="s">
        <v>4</v>
      </c>
      <c r="L42" s="57" t="s">
        <v>20</v>
      </c>
      <c r="M42" s="56" t="s">
        <v>4</v>
      </c>
      <c r="N42" s="58" t="s">
        <v>20</v>
      </c>
    </row>
    <row r="43" spans="1:15" ht="45" x14ac:dyDescent="0.25">
      <c r="A43" s="122" t="s">
        <v>99</v>
      </c>
      <c r="B43" s="123" t="s">
        <v>100</v>
      </c>
      <c r="C43" s="124">
        <v>22</v>
      </c>
      <c r="D43" s="138">
        <v>301</v>
      </c>
      <c r="E43" s="153">
        <v>86.4</v>
      </c>
      <c r="F43" s="149">
        <v>84.1</v>
      </c>
      <c r="G43" s="125">
        <f>63.2+36.8</f>
        <v>100</v>
      </c>
      <c r="H43" s="140">
        <f>48.2+41.5</f>
        <v>89.7</v>
      </c>
      <c r="I43" s="153">
        <f>57.9+42.1</f>
        <v>100</v>
      </c>
      <c r="J43" s="149">
        <f>36.8+55.3</f>
        <v>92.1</v>
      </c>
      <c r="K43" s="125">
        <f>63.2+36.8</f>
        <v>100</v>
      </c>
      <c r="L43" s="140">
        <f>56.5+35.6</f>
        <v>92.1</v>
      </c>
      <c r="M43" s="153">
        <v>52.6</v>
      </c>
      <c r="N43" s="158">
        <v>69.2</v>
      </c>
    </row>
    <row r="44" spans="1:15" ht="30.75" customHeight="1" x14ac:dyDescent="0.25">
      <c r="A44" s="111" t="s">
        <v>155</v>
      </c>
      <c r="B44" s="112" t="s">
        <v>128</v>
      </c>
      <c r="C44" s="119">
        <v>14</v>
      </c>
      <c r="D44" s="138">
        <v>1015</v>
      </c>
      <c r="E44" s="146">
        <v>100</v>
      </c>
      <c r="F44" s="149">
        <v>91.2</v>
      </c>
      <c r="G44" s="114">
        <f>71.4+28.6</f>
        <v>100</v>
      </c>
      <c r="H44" s="140">
        <f>52.3+40.9</f>
        <v>93.199999999999989</v>
      </c>
      <c r="I44" s="146">
        <f>64.3+35.7</f>
        <v>100</v>
      </c>
      <c r="J44" s="149">
        <f>40.9+53.7</f>
        <v>94.6</v>
      </c>
      <c r="K44" s="114">
        <f>57.1+42.9</f>
        <v>100</v>
      </c>
      <c r="L44" s="140">
        <f>51.5+36.3</f>
        <v>87.8</v>
      </c>
      <c r="M44" s="146">
        <v>100</v>
      </c>
      <c r="N44" s="144">
        <v>81.7</v>
      </c>
    </row>
    <row r="45" spans="1:15" x14ac:dyDescent="0.25">
      <c r="A45" s="111" t="s">
        <v>101</v>
      </c>
      <c r="B45" s="112" t="s">
        <v>102</v>
      </c>
      <c r="C45" s="113">
        <v>8</v>
      </c>
      <c r="D45" s="138">
        <v>770</v>
      </c>
      <c r="E45" s="146">
        <v>100</v>
      </c>
      <c r="F45" s="149">
        <v>87.1</v>
      </c>
      <c r="G45" s="114">
        <f>75+25</f>
        <v>100</v>
      </c>
      <c r="H45" s="140">
        <f>50.8+40.8</f>
        <v>91.6</v>
      </c>
      <c r="I45" s="146">
        <f>62.5+37.5</f>
        <v>100</v>
      </c>
      <c r="J45" s="149">
        <f>45.5+47.7</f>
        <v>93.2</v>
      </c>
      <c r="K45" s="114">
        <f>62.5+37.5</f>
        <v>100</v>
      </c>
      <c r="L45" s="140">
        <f>62.3+31.3</f>
        <v>93.6</v>
      </c>
      <c r="M45" s="146">
        <v>100</v>
      </c>
      <c r="N45" s="144">
        <v>75</v>
      </c>
    </row>
    <row r="46" spans="1:15" x14ac:dyDescent="0.25">
      <c r="A46" s="111" t="s">
        <v>153</v>
      </c>
      <c r="B46" s="112" t="s">
        <v>103</v>
      </c>
      <c r="C46" s="113">
        <v>26</v>
      </c>
      <c r="D46" s="138">
        <v>3223</v>
      </c>
      <c r="E46" s="146">
        <v>96.2</v>
      </c>
      <c r="F46" s="149">
        <v>92.4</v>
      </c>
      <c r="G46" s="114">
        <f>68+32</f>
        <v>100</v>
      </c>
      <c r="H46" s="140">
        <f>47.6+44.1</f>
        <v>91.7</v>
      </c>
      <c r="I46" s="146">
        <f>56+44</f>
        <v>100</v>
      </c>
      <c r="J46" s="149">
        <f>38.8+54.5</f>
        <v>93.3</v>
      </c>
      <c r="K46" s="114">
        <f>68+28</f>
        <v>96</v>
      </c>
      <c r="L46" s="140">
        <f>50.3+36.7</f>
        <v>87</v>
      </c>
      <c r="M46" s="146">
        <v>76</v>
      </c>
      <c r="N46" s="144">
        <v>76.5</v>
      </c>
    </row>
    <row r="47" spans="1:15" x14ac:dyDescent="0.25">
      <c r="A47" s="111" t="s">
        <v>104</v>
      </c>
      <c r="B47" s="112" t="s">
        <v>103</v>
      </c>
      <c r="C47" s="113">
        <v>46</v>
      </c>
      <c r="D47" s="138">
        <v>3223</v>
      </c>
      <c r="E47" s="146">
        <v>95.7</v>
      </c>
      <c r="F47" s="149">
        <v>92.4</v>
      </c>
      <c r="G47" s="114">
        <f>54.5+36.4</f>
        <v>90.9</v>
      </c>
      <c r="H47" s="140">
        <f>47.6+44.1</f>
        <v>91.7</v>
      </c>
      <c r="I47" s="146">
        <f>36.4+61.4</f>
        <v>97.8</v>
      </c>
      <c r="J47" s="149">
        <f>38.8+54.5</f>
        <v>93.3</v>
      </c>
      <c r="K47" s="114">
        <f>47.7+40.9</f>
        <v>88.6</v>
      </c>
      <c r="L47" s="140">
        <f>50.3+36.7</f>
        <v>87</v>
      </c>
      <c r="M47" s="146">
        <v>81.8</v>
      </c>
      <c r="N47" s="144">
        <v>76.5</v>
      </c>
    </row>
    <row r="48" spans="1:15" x14ac:dyDescent="0.25">
      <c r="A48" s="111" t="s">
        <v>105</v>
      </c>
      <c r="B48" s="112" t="s">
        <v>106</v>
      </c>
      <c r="C48" s="113">
        <v>13</v>
      </c>
      <c r="D48" s="157">
        <v>1072</v>
      </c>
      <c r="E48" s="102">
        <v>92.3</v>
      </c>
      <c r="F48" s="149">
        <v>94.6</v>
      </c>
      <c r="G48" s="59">
        <f>50+50</f>
        <v>100</v>
      </c>
      <c r="H48" s="140">
        <f>55.4+37.6</f>
        <v>93</v>
      </c>
      <c r="I48" s="102">
        <f>66.7+33.3</f>
        <v>100</v>
      </c>
      <c r="J48" s="149">
        <f>39.1+56.9</f>
        <v>96</v>
      </c>
      <c r="K48" s="114">
        <f>75+25</f>
        <v>100</v>
      </c>
      <c r="L48" s="140">
        <f>53+33.1</f>
        <v>86.1</v>
      </c>
      <c r="M48" s="102">
        <v>58.3</v>
      </c>
      <c r="N48" s="144">
        <v>81.099999999999994</v>
      </c>
    </row>
    <row r="49" spans="1:14" ht="90" x14ac:dyDescent="0.25">
      <c r="A49" s="111" t="s">
        <v>107</v>
      </c>
      <c r="B49" s="112" t="s">
        <v>108</v>
      </c>
      <c r="C49" s="113">
        <v>21</v>
      </c>
      <c r="D49" s="138">
        <v>1550</v>
      </c>
      <c r="E49" s="146">
        <v>100</v>
      </c>
      <c r="F49" s="149">
        <v>90.7</v>
      </c>
      <c r="G49" s="114">
        <f>47.6+38.1</f>
        <v>85.7</v>
      </c>
      <c r="H49" s="140">
        <f>52.3+41.2</f>
        <v>93.5</v>
      </c>
      <c r="I49" s="146">
        <f>38.1+52.4</f>
        <v>90.5</v>
      </c>
      <c r="J49" s="149">
        <f>34.3+58</f>
        <v>92.3</v>
      </c>
      <c r="K49" s="114">
        <f>52.4+38.1</f>
        <v>90.5</v>
      </c>
      <c r="L49" s="140">
        <f>50.6+36.5</f>
        <v>87.1</v>
      </c>
      <c r="M49" s="146">
        <v>71.400000000000006</v>
      </c>
      <c r="N49" s="144">
        <v>82.4</v>
      </c>
    </row>
    <row r="50" spans="1:14" ht="45" x14ac:dyDescent="0.25">
      <c r="A50" s="111" t="s">
        <v>109</v>
      </c>
      <c r="B50" s="112" t="s">
        <v>110</v>
      </c>
      <c r="C50" s="113">
        <v>67</v>
      </c>
      <c r="D50" s="138">
        <v>11344</v>
      </c>
      <c r="E50" s="146">
        <v>94</v>
      </c>
      <c r="F50" s="149">
        <v>87.2</v>
      </c>
      <c r="G50" s="114">
        <f>44.4+42.9</f>
        <v>87.3</v>
      </c>
      <c r="H50" s="140">
        <f>48.4+44.1</f>
        <v>92.5</v>
      </c>
      <c r="I50" s="146">
        <f>14.3+71.4</f>
        <v>85.7</v>
      </c>
      <c r="J50" s="149">
        <f>27.7+61.7</f>
        <v>89.4</v>
      </c>
      <c r="K50" s="114">
        <f>54+38.1</f>
        <v>92.1</v>
      </c>
      <c r="L50" s="140">
        <f>51.6+39.8</f>
        <v>91.4</v>
      </c>
      <c r="M50" s="146">
        <v>73</v>
      </c>
      <c r="N50" s="144">
        <v>77.099999999999994</v>
      </c>
    </row>
    <row r="51" spans="1:14" x14ac:dyDescent="0.25">
      <c r="A51" s="111" t="s">
        <v>111</v>
      </c>
      <c r="B51" s="112" t="s">
        <v>112</v>
      </c>
      <c r="C51" s="113">
        <v>27</v>
      </c>
      <c r="D51" s="138">
        <v>2489</v>
      </c>
      <c r="E51" s="146">
        <v>96.3</v>
      </c>
      <c r="F51" s="149">
        <v>85.2</v>
      </c>
      <c r="G51" s="114">
        <f>38.5+53.8</f>
        <v>92.3</v>
      </c>
      <c r="H51" s="140">
        <f>47.5+43.9</f>
        <v>91.4</v>
      </c>
      <c r="I51" s="146">
        <f>34.6+57.7</f>
        <v>92.300000000000011</v>
      </c>
      <c r="J51" s="149">
        <f>31.5+58.5</f>
        <v>90</v>
      </c>
      <c r="K51" s="114">
        <f>46.2+42.3</f>
        <v>88.5</v>
      </c>
      <c r="L51" s="140">
        <f>54.4+36.8</f>
        <v>91.199999999999989</v>
      </c>
      <c r="M51" s="146">
        <v>73.099999999999994</v>
      </c>
      <c r="N51" s="144">
        <v>72.5</v>
      </c>
    </row>
    <row r="52" spans="1:14" ht="45" x14ac:dyDescent="0.25">
      <c r="A52" s="111" t="s">
        <v>113</v>
      </c>
      <c r="B52" s="112" t="s">
        <v>114</v>
      </c>
      <c r="C52" s="113">
        <v>18</v>
      </c>
      <c r="D52" s="138">
        <v>395</v>
      </c>
      <c r="E52" s="146">
        <v>94.4</v>
      </c>
      <c r="F52" s="149">
        <v>88.9</v>
      </c>
      <c r="G52" s="114">
        <f>17.6+76.5</f>
        <v>94.1</v>
      </c>
      <c r="H52" s="140">
        <f>44.2+47.6</f>
        <v>91.800000000000011</v>
      </c>
      <c r="I52" s="146">
        <f>23.5+70.6</f>
        <v>94.1</v>
      </c>
      <c r="J52" s="149">
        <f>43.6+53.3</f>
        <v>96.9</v>
      </c>
      <c r="K52" s="114">
        <f>47.1+35.3</f>
        <v>82.4</v>
      </c>
      <c r="L52" s="140">
        <f>55+37.9</f>
        <v>92.9</v>
      </c>
      <c r="M52" s="146">
        <v>58.8</v>
      </c>
      <c r="N52" s="144">
        <v>76.599999999999994</v>
      </c>
    </row>
    <row r="53" spans="1:14" ht="90" x14ac:dyDescent="0.25">
      <c r="A53" s="111" t="s">
        <v>115</v>
      </c>
      <c r="B53" s="112" t="s">
        <v>116</v>
      </c>
      <c r="C53" s="113">
        <v>4</v>
      </c>
      <c r="D53" s="138">
        <v>439</v>
      </c>
      <c r="E53" s="146">
        <v>100</v>
      </c>
      <c r="F53" s="149">
        <v>91.3</v>
      </c>
      <c r="G53" s="177" t="s">
        <v>197</v>
      </c>
      <c r="H53" s="140">
        <f>60.3+34.2</f>
        <v>94.5</v>
      </c>
      <c r="I53" s="177" t="s">
        <v>197</v>
      </c>
      <c r="J53" s="149">
        <f>44.9+50.1</f>
        <v>95</v>
      </c>
      <c r="K53" s="177" t="s">
        <v>197</v>
      </c>
      <c r="L53" s="140">
        <f>52.6+36.4</f>
        <v>89</v>
      </c>
      <c r="M53" s="177" t="s">
        <v>197</v>
      </c>
      <c r="N53" s="144">
        <v>80.5</v>
      </c>
    </row>
    <row r="54" spans="1:14" x14ac:dyDescent="0.25">
      <c r="A54" s="115" t="s">
        <v>117</v>
      </c>
      <c r="B54" s="116" t="s">
        <v>118</v>
      </c>
      <c r="C54" s="117">
        <v>50</v>
      </c>
      <c r="D54" s="139">
        <v>849</v>
      </c>
      <c r="E54" s="148">
        <v>92</v>
      </c>
      <c r="F54" s="150">
        <v>90</v>
      </c>
      <c r="G54" s="118">
        <f>50+43.5</f>
        <v>93.5</v>
      </c>
      <c r="H54" s="142">
        <f>44.1+47.4</f>
        <v>91.5</v>
      </c>
      <c r="I54" s="148">
        <f>34.8+56.5</f>
        <v>91.3</v>
      </c>
      <c r="J54" s="150">
        <f>27.4+60.3</f>
        <v>87.699999999999989</v>
      </c>
      <c r="K54" s="118">
        <f>54.3+32.6</f>
        <v>86.9</v>
      </c>
      <c r="L54" s="142">
        <f>47.6+38.9</f>
        <v>86.5</v>
      </c>
      <c r="M54" s="148">
        <v>80.400000000000006</v>
      </c>
      <c r="N54" s="145">
        <v>74.2</v>
      </c>
    </row>
    <row r="55" spans="1:14" ht="76.5" customHeight="1" x14ac:dyDescent="0.25">
      <c r="A55" s="242" t="s">
        <v>49</v>
      </c>
      <c r="B55" s="242" t="s">
        <v>50</v>
      </c>
      <c r="C55" s="239" t="s">
        <v>191</v>
      </c>
      <c r="D55" s="241"/>
      <c r="E55" s="244" t="s">
        <v>16</v>
      </c>
      <c r="F55" s="245"/>
      <c r="G55" s="241" t="s">
        <v>17</v>
      </c>
      <c r="H55" s="241"/>
      <c r="I55" s="239" t="s">
        <v>18</v>
      </c>
      <c r="J55" s="240"/>
      <c r="K55" s="241" t="s">
        <v>19</v>
      </c>
      <c r="L55" s="241"/>
      <c r="M55" s="239" t="s">
        <v>51</v>
      </c>
      <c r="N55" s="240"/>
    </row>
    <row r="56" spans="1:14" x14ac:dyDescent="0.25">
      <c r="A56" s="243"/>
      <c r="B56" s="243"/>
      <c r="C56" s="56" t="s">
        <v>4</v>
      </c>
      <c r="D56" s="57" t="s">
        <v>20</v>
      </c>
      <c r="E56" s="151" t="s">
        <v>4</v>
      </c>
      <c r="F56" s="154" t="s">
        <v>20</v>
      </c>
      <c r="G56" s="57" t="s">
        <v>4</v>
      </c>
      <c r="H56" s="57" t="s">
        <v>20</v>
      </c>
      <c r="I56" s="56" t="s">
        <v>4</v>
      </c>
      <c r="J56" s="58" t="s">
        <v>20</v>
      </c>
      <c r="K56" s="57" t="s">
        <v>4</v>
      </c>
      <c r="L56" s="57" t="s">
        <v>20</v>
      </c>
      <c r="M56" s="56" t="s">
        <v>4</v>
      </c>
      <c r="N56" s="58" t="s">
        <v>20</v>
      </c>
    </row>
    <row r="57" spans="1:14" ht="30" x14ac:dyDescent="0.25">
      <c r="A57" s="111" t="s">
        <v>176</v>
      </c>
      <c r="B57" s="112" t="s">
        <v>119</v>
      </c>
      <c r="C57" s="113">
        <v>14</v>
      </c>
      <c r="D57" s="138">
        <v>674</v>
      </c>
      <c r="E57" s="146">
        <v>92.9</v>
      </c>
      <c r="F57" s="144">
        <v>90.5</v>
      </c>
      <c r="G57" s="114">
        <f>61.5+30.8</f>
        <v>92.3</v>
      </c>
      <c r="H57" s="143">
        <f>49.5+43.9</f>
        <v>93.4</v>
      </c>
      <c r="I57" s="146">
        <f>53.8+46.2</f>
        <v>100</v>
      </c>
      <c r="J57" s="144">
        <f>41.6+53.6</f>
        <v>95.2</v>
      </c>
      <c r="K57" s="114">
        <f>76.9+15.4</f>
        <v>92.300000000000011</v>
      </c>
      <c r="L57" s="143">
        <f>53.4+36.4</f>
        <v>89.8</v>
      </c>
      <c r="M57" s="146">
        <v>84.6</v>
      </c>
      <c r="N57" s="144">
        <v>80.5</v>
      </c>
    </row>
    <row r="58" spans="1:14" ht="63" customHeight="1" x14ac:dyDescent="0.25">
      <c r="A58" s="111" t="s">
        <v>202</v>
      </c>
      <c r="B58" s="112" t="s">
        <v>120</v>
      </c>
      <c r="C58" s="113">
        <v>36</v>
      </c>
      <c r="D58" s="138">
        <v>2485</v>
      </c>
      <c r="E58" s="102">
        <v>94.4</v>
      </c>
      <c r="F58" s="149">
        <v>91.9</v>
      </c>
      <c r="G58" s="114">
        <f>41.2+50</f>
        <v>91.2</v>
      </c>
      <c r="H58" s="140">
        <f>51.1+42.9</f>
        <v>94</v>
      </c>
      <c r="I58" s="146">
        <f>35.3+58.8</f>
        <v>94.1</v>
      </c>
      <c r="J58" s="149">
        <f>24.7+62.2</f>
        <v>86.9</v>
      </c>
      <c r="K58" s="114">
        <f>38.2+52.9</f>
        <v>91.1</v>
      </c>
      <c r="L58" s="140">
        <f>48.1+41.9</f>
        <v>90</v>
      </c>
      <c r="M58" s="146">
        <v>70.599999999999994</v>
      </c>
      <c r="N58" s="144">
        <v>83.4</v>
      </c>
    </row>
    <row r="59" spans="1:14" ht="90" x14ac:dyDescent="0.25">
      <c r="A59" s="111" t="s">
        <v>121</v>
      </c>
      <c r="B59" s="112" t="s">
        <v>122</v>
      </c>
      <c r="C59" s="113">
        <v>15</v>
      </c>
      <c r="D59" s="138">
        <v>519</v>
      </c>
      <c r="E59" s="146">
        <v>80</v>
      </c>
      <c r="F59" s="149">
        <v>89.2</v>
      </c>
      <c r="G59" s="114">
        <f>41.7+58.3</f>
        <v>100</v>
      </c>
      <c r="H59" s="140">
        <f>46+46</f>
        <v>92</v>
      </c>
      <c r="I59" s="146">
        <f>58.3+41.7</f>
        <v>100</v>
      </c>
      <c r="J59" s="149">
        <f>38.2+55.7</f>
        <v>93.9</v>
      </c>
      <c r="K59" s="114">
        <f>58.3+33.3</f>
        <v>91.6</v>
      </c>
      <c r="L59" s="140">
        <f>56.8+37.4</f>
        <v>94.199999999999989</v>
      </c>
      <c r="M59" s="146">
        <v>83.3</v>
      </c>
      <c r="N59" s="144">
        <v>75.8</v>
      </c>
    </row>
    <row r="60" spans="1:14" x14ac:dyDescent="0.25">
      <c r="A60" s="111" t="s">
        <v>123</v>
      </c>
      <c r="B60" s="112" t="s">
        <v>124</v>
      </c>
      <c r="C60" s="113">
        <v>19</v>
      </c>
      <c r="D60" s="138">
        <v>609</v>
      </c>
      <c r="E60" s="146">
        <v>78.900000000000006</v>
      </c>
      <c r="F60" s="149">
        <v>88.7</v>
      </c>
      <c r="G60" s="114">
        <f>53.3+33.3</f>
        <v>86.6</v>
      </c>
      <c r="H60" s="140">
        <f>60.2+33.5</f>
        <v>93.7</v>
      </c>
      <c r="I60" s="146">
        <f>66.7+26.7</f>
        <v>93.4</v>
      </c>
      <c r="J60" s="149">
        <f>49.6+44.8</f>
        <v>94.4</v>
      </c>
      <c r="K60" s="114">
        <f>33.3+53.3</f>
        <v>86.6</v>
      </c>
      <c r="L60" s="140">
        <f>58.9+33.3</f>
        <v>92.199999999999989</v>
      </c>
      <c r="M60" s="146">
        <v>86.7</v>
      </c>
      <c r="N60" s="144">
        <v>82.2</v>
      </c>
    </row>
    <row r="61" spans="1:14" x14ac:dyDescent="0.25">
      <c r="A61" s="111" t="s">
        <v>125</v>
      </c>
      <c r="B61" s="112" t="s">
        <v>126</v>
      </c>
      <c r="C61" s="113">
        <v>33</v>
      </c>
      <c r="D61" s="138">
        <v>2818</v>
      </c>
      <c r="E61" s="146">
        <v>90.9</v>
      </c>
      <c r="F61" s="149">
        <v>85.7</v>
      </c>
      <c r="G61" s="114">
        <f>50+40</f>
        <v>90</v>
      </c>
      <c r="H61" s="140">
        <f>53.8+40.5</f>
        <v>94.3</v>
      </c>
      <c r="I61" s="146">
        <f>60+33.3</f>
        <v>93.3</v>
      </c>
      <c r="J61" s="149">
        <f>39.1+54.3</f>
        <v>93.4</v>
      </c>
      <c r="K61" s="114">
        <f>63.3+33.3</f>
        <v>96.6</v>
      </c>
      <c r="L61" s="140">
        <f>51.3+40</f>
        <v>91.3</v>
      </c>
      <c r="M61" s="146">
        <v>66.7</v>
      </c>
      <c r="N61" s="144">
        <v>79.5</v>
      </c>
    </row>
    <row r="62" spans="1:14" ht="30" x14ac:dyDescent="0.25">
      <c r="A62" s="111" t="s">
        <v>127</v>
      </c>
      <c r="B62" s="126" t="s">
        <v>110</v>
      </c>
      <c r="C62" s="119">
        <v>211</v>
      </c>
      <c r="D62" s="138">
        <v>11344</v>
      </c>
      <c r="E62" s="146">
        <v>91.5</v>
      </c>
      <c r="F62" s="149">
        <v>87.2</v>
      </c>
      <c r="G62" s="114">
        <f>40.9+49.7</f>
        <v>90.6</v>
      </c>
      <c r="H62" s="140">
        <f>48.4+44.1</f>
        <v>92.5</v>
      </c>
      <c r="I62" s="146">
        <f>26.4+58.5</f>
        <v>84.9</v>
      </c>
      <c r="J62" s="149">
        <f>27.7+61.7</f>
        <v>89.4</v>
      </c>
      <c r="K62" s="114">
        <f>54.4+39.9</f>
        <v>94.3</v>
      </c>
      <c r="L62" s="140">
        <f>51.6+39.8</f>
        <v>91.4</v>
      </c>
      <c r="M62" s="146">
        <v>70.5</v>
      </c>
      <c r="N62" s="144">
        <v>77.099999999999994</v>
      </c>
    </row>
    <row r="63" spans="1:14" ht="60" x14ac:dyDescent="0.25">
      <c r="A63" s="111" t="s">
        <v>129</v>
      </c>
      <c r="B63" s="126" t="s">
        <v>130</v>
      </c>
      <c r="C63" s="119">
        <v>37</v>
      </c>
      <c r="D63" s="138">
        <v>1386</v>
      </c>
      <c r="E63" s="146">
        <v>86.5</v>
      </c>
      <c r="F63" s="149">
        <v>92.4</v>
      </c>
      <c r="G63" s="114">
        <f>46.9+31.3</f>
        <v>78.2</v>
      </c>
      <c r="H63" s="140">
        <f>45.8+44.7</f>
        <v>90.5</v>
      </c>
      <c r="I63" s="146">
        <f>34.4+43.8</f>
        <v>78.199999999999989</v>
      </c>
      <c r="J63" s="149">
        <f>30.2+61.6</f>
        <v>91.8</v>
      </c>
      <c r="K63" s="114">
        <f>53.1+37.5</f>
        <v>90.6</v>
      </c>
      <c r="L63" s="140">
        <f>46.1+38</f>
        <v>84.1</v>
      </c>
      <c r="M63" s="146">
        <v>68.8</v>
      </c>
      <c r="N63" s="144">
        <v>73</v>
      </c>
    </row>
    <row r="64" spans="1:14" ht="60" x14ac:dyDescent="0.25">
      <c r="A64" s="111" t="s">
        <v>194</v>
      </c>
      <c r="B64" s="112" t="s">
        <v>177</v>
      </c>
      <c r="C64" s="113">
        <v>19</v>
      </c>
      <c r="D64" s="138">
        <v>554</v>
      </c>
      <c r="E64" s="146">
        <v>94.7</v>
      </c>
      <c r="F64" s="149">
        <v>82.7</v>
      </c>
      <c r="G64" s="114">
        <f>55.6+27.8</f>
        <v>83.4</v>
      </c>
      <c r="H64" s="140">
        <f>36.7+48.5</f>
        <v>85.2</v>
      </c>
      <c r="I64" s="146">
        <f>38.9+44.4</f>
        <v>83.3</v>
      </c>
      <c r="J64" s="149">
        <f>31.4+56.3</f>
        <v>87.699999999999989</v>
      </c>
      <c r="K64" s="114">
        <f>55.6+33.3</f>
        <v>88.9</v>
      </c>
      <c r="L64" s="140">
        <f>57.4+35.6</f>
        <v>93</v>
      </c>
      <c r="M64" s="146">
        <v>66.7</v>
      </c>
      <c r="N64" s="144">
        <v>59.6</v>
      </c>
    </row>
    <row r="65" spans="1:15" ht="28.5" customHeight="1" x14ac:dyDescent="0.25">
      <c r="A65" s="111" t="s">
        <v>178</v>
      </c>
      <c r="B65" s="112" t="s">
        <v>131</v>
      </c>
      <c r="C65" s="113">
        <v>17</v>
      </c>
      <c r="D65" s="138">
        <v>1159</v>
      </c>
      <c r="E65" s="146">
        <v>88.2</v>
      </c>
      <c r="F65" s="149">
        <v>927</v>
      </c>
      <c r="G65" s="114">
        <f>66.7+33.3</f>
        <v>100</v>
      </c>
      <c r="H65" s="140">
        <f>45.3+45.4</f>
        <v>90.699999999999989</v>
      </c>
      <c r="I65" s="146">
        <f>53.3+40</f>
        <v>93.3</v>
      </c>
      <c r="J65" s="149">
        <f>36+56.6</f>
        <v>92.6</v>
      </c>
      <c r="K65" s="114">
        <f>73.3+20</f>
        <v>93.3</v>
      </c>
      <c r="L65" s="140">
        <f>55.4+38.6</f>
        <v>94</v>
      </c>
      <c r="M65" s="146">
        <v>80</v>
      </c>
      <c r="N65" s="144">
        <v>76.900000000000006</v>
      </c>
    </row>
    <row r="66" spans="1:15" ht="45" x14ac:dyDescent="0.25">
      <c r="A66" s="115" t="s">
        <v>132</v>
      </c>
      <c r="B66" s="116" t="s">
        <v>133</v>
      </c>
      <c r="C66" s="117">
        <v>30</v>
      </c>
      <c r="D66" s="139">
        <v>904</v>
      </c>
      <c r="E66" s="148">
        <v>93.3</v>
      </c>
      <c r="F66" s="150">
        <v>81</v>
      </c>
      <c r="G66" s="118">
        <f>25+57.1</f>
        <v>82.1</v>
      </c>
      <c r="H66" s="142">
        <f>33.3+48</f>
        <v>81.3</v>
      </c>
      <c r="I66" s="102">
        <f>32.1+57.1</f>
        <v>89.2</v>
      </c>
      <c r="J66" s="150">
        <f>30.1+51.6</f>
        <v>81.7</v>
      </c>
      <c r="K66" s="118">
        <f>39.3+50</f>
        <v>89.3</v>
      </c>
      <c r="L66" s="142">
        <f>41.4+42.3</f>
        <v>83.699999999999989</v>
      </c>
      <c r="M66" s="148">
        <v>64.3</v>
      </c>
      <c r="N66" s="145">
        <v>68.400000000000006</v>
      </c>
    </row>
    <row r="67" spans="1:15" ht="76.5" customHeight="1" x14ac:dyDescent="0.25">
      <c r="A67" s="242" t="s">
        <v>49</v>
      </c>
      <c r="B67" s="242" t="s">
        <v>50</v>
      </c>
      <c r="C67" s="239" t="s">
        <v>191</v>
      </c>
      <c r="D67" s="241"/>
      <c r="E67" s="244" t="s">
        <v>16</v>
      </c>
      <c r="F67" s="245"/>
      <c r="G67" s="241" t="s">
        <v>17</v>
      </c>
      <c r="H67" s="241"/>
      <c r="I67" s="239" t="s">
        <v>18</v>
      </c>
      <c r="J67" s="240"/>
      <c r="K67" s="241" t="s">
        <v>19</v>
      </c>
      <c r="L67" s="241"/>
      <c r="M67" s="239" t="s">
        <v>51</v>
      </c>
      <c r="N67" s="240"/>
    </row>
    <row r="68" spans="1:15" x14ac:dyDescent="0.25">
      <c r="A68" s="243"/>
      <c r="B68" s="243"/>
      <c r="C68" s="56" t="s">
        <v>4</v>
      </c>
      <c r="D68" s="57" t="s">
        <v>20</v>
      </c>
      <c r="E68" s="151" t="s">
        <v>4</v>
      </c>
      <c r="F68" s="154" t="s">
        <v>20</v>
      </c>
      <c r="G68" s="57" t="s">
        <v>4</v>
      </c>
      <c r="H68" s="57" t="s">
        <v>20</v>
      </c>
      <c r="I68" s="56" t="s">
        <v>4</v>
      </c>
      <c r="J68" s="58" t="s">
        <v>20</v>
      </c>
      <c r="K68" s="57" t="s">
        <v>4</v>
      </c>
      <c r="L68" s="57" t="s">
        <v>20</v>
      </c>
      <c r="M68" s="56" t="s">
        <v>4</v>
      </c>
      <c r="N68" s="58" t="s">
        <v>20</v>
      </c>
    </row>
    <row r="69" spans="1:15" ht="30" x14ac:dyDescent="0.25">
      <c r="A69" s="111" t="s">
        <v>134</v>
      </c>
      <c r="B69" s="112" t="s">
        <v>135</v>
      </c>
      <c r="C69" s="113">
        <v>53</v>
      </c>
      <c r="D69" s="138">
        <v>1854</v>
      </c>
      <c r="E69" s="146">
        <v>92.5</v>
      </c>
      <c r="F69" s="149">
        <v>85.4</v>
      </c>
      <c r="G69" s="114">
        <f>59.2+36.7</f>
        <v>95.9</v>
      </c>
      <c r="H69" s="140">
        <f>47.4+43.7</f>
        <v>91.1</v>
      </c>
      <c r="I69" s="146">
        <f>51+46.9</f>
        <v>97.9</v>
      </c>
      <c r="J69" s="149">
        <f>35+57</f>
        <v>92</v>
      </c>
      <c r="K69" s="114">
        <f>69.4+24.5</f>
        <v>93.9</v>
      </c>
      <c r="L69" s="140">
        <f>56.5+36.9</f>
        <v>93.4</v>
      </c>
      <c r="M69" s="146">
        <v>63.3</v>
      </c>
      <c r="N69" s="144">
        <v>70.8</v>
      </c>
    </row>
    <row r="70" spans="1:15" ht="75" x14ac:dyDescent="0.25">
      <c r="A70" s="111" t="s">
        <v>136</v>
      </c>
      <c r="B70" s="112" t="s">
        <v>137</v>
      </c>
      <c r="C70" s="113">
        <v>21</v>
      </c>
      <c r="D70" s="138">
        <v>1889</v>
      </c>
      <c r="E70" s="146">
        <v>90.5</v>
      </c>
      <c r="F70" s="149">
        <v>86.1</v>
      </c>
      <c r="G70" s="114">
        <f>47.4+52.6</f>
        <v>100</v>
      </c>
      <c r="H70" s="140">
        <f>48.1+43.3</f>
        <v>91.4</v>
      </c>
      <c r="I70" s="146">
        <f>52.6+47.4</f>
        <v>100</v>
      </c>
      <c r="J70" s="149">
        <f>35.8+56.7</f>
        <v>92.5</v>
      </c>
      <c r="K70" s="114">
        <f>73.7+21.1</f>
        <v>94.800000000000011</v>
      </c>
      <c r="L70" s="140">
        <f>51.4+39.6</f>
        <v>91</v>
      </c>
      <c r="M70" s="146">
        <v>73.7</v>
      </c>
      <c r="N70" s="144" t="s">
        <v>195</v>
      </c>
    </row>
    <row r="71" spans="1:15" ht="45" x14ac:dyDescent="0.25">
      <c r="A71" s="111" t="s">
        <v>138</v>
      </c>
      <c r="B71" s="112" t="s">
        <v>139</v>
      </c>
      <c r="C71" s="113">
        <v>15</v>
      </c>
      <c r="D71" s="138">
        <v>435</v>
      </c>
      <c r="E71" s="146">
        <v>86.7</v>
      </c>
      <c r="F71" s="149">
        <v>89.7</v>
      </c>
      <c r="G71" s="114">
        <f>0+30.8</f>
        <v>30.8</v>
      </c>
      <c r="H71" s="140">
        <f>25.6+44.9</f>
        <v>70.5</v>
      </c>
      <c r="I71" s="146">
        <f>7.7+30.8</f>
        <v>38.5</v>
      </c>
      <c r="J71" s="149">
        <f>25.9+53.8</f>
        <v>79.699999999999989</v>
      </c>
      <c r="K71" s="114">
        <f>15.4+61.5</f>
        <v>76.900000000000006</v>
      </c>
      <c r="L71" s="140">
        <f>39.5+47.2</f>
        <v>86.7</v>
      </c>
      <c r="M71" s="146">
        <v>23.1</v>
      </c>
      <c r="N71" s="144">
        <v>67.900000000000006</v>
      </c>
    </row>
    <row r="72" spans="1:15" ht="45" x14ac:dyDescent="0.25">
      <c r="A72" s="111" t="s">
        <v>140</v>
      </c>
      <c r="B72" s="112" t="s">
        <v>141</v>
      </c>
      <c r="C72" s="113">
        <v>8</v>
      </c>
      <c r="D72" s="138">
        <v>513</v>
      </c>
      <c r="E72" s="146">
        <v>87.5</v>
      </c>
      <c r="F72" s="149">
        <v>93.2</v>
      </c>
      <c r="G72" s="114">
        <f>85.7+14.3</f>
        <v>100</v>
      </c>
      <c r="H72" s="140">
        <f>43.7+46.4</f>
        <v>90.1</v>
      </c>
      <c r="I72" s="146">
        <f>42.9+57.1</f>
        <v>100</v>
      </c>
      <c r="J72" s="149">
        <f>25.7+64.4</f>
        <v>90.100000000000009</v>
      </c>
      <c r="K72" s="114">
        <f>85.7+14.3</f>
        <v>100</v>
      </c>
      <c r="L72" s="140">
        <f>51.3+36.2</f>
        <v>87.5</v>
      </c>
      <c r="M72" s="146">
        <v>71.400000000000006</v>
      </c>
      <c r="N72" s="144">
        <v>74.900000000000006</v>
      </c>
    </row>
    <row r="73" spans="1:15" x14ac:dyDescent="0.25">
      <c r="A73" s="111" t="s">
        <v>142</v>
      </c>
      <c r="B73" s="112" t="s">
        <v>143</v>
      </c>
      <c r="C73" s="113">
        <v>19</v>
      </c>
      <c r="D73" s="138">
        <v>1265</v>
      </c>
      <c r="E73" s="146">
        <v>100</v>
      </c>
      <c r="F73" s="149">
        <v>88.8</v>
      </c>
      <c r="G73" s="114">
        <f>57.9+31.6</f>
        <v>89.5</v>
      </c>
      <c r="H73" s="140">
        <f>53.5+38.3</f>
        <v>91.8</v>
      </c>
      <c r="I73" s="146">
        <f>63.2+26.3</f>
        <v>89.5</v>
      </c>
      <c r="J73" s="149">
        <f>39.9+54.1</f>
        <v>94</v>
      </c>
      <c r="K73" s="114">
        <f>57.9+26.3</f>
        <v>84.2</v>
      </c>
      <c r="L73" s="140">
        <f>59.4+32.9</f>
        <v>92.3</v>
      </c>
      <c r="M73" s="146">
        <v>84.2</v>
      </c>
      <c r="N73" s="144">
        <v>75.5</v>
      </c>
    </row>
    <row r="74" spans="1:15" ht="18.75" customHeight="1" x14ac:dyDescent="0.25">
      <c r="A74" s="247" t="s">
        <v>181</v>
      </c>
      <c r="B74" s="111" t="s">
        <v>180</v>
      </c>
      <c r="C74" s="113">
        <v>13</v>
      </c>
      <c r="D74" s="159">
        <v>1311</v>
      </c>
      <c r="E74" s="146">
        <v>100</v>
      </c>
      <c r="F74" s="144">
        <v>86.3</v>
      </c>
      <c r="G74" s="114">
        <f>46.2+53.8</f>
        <v>100</v>
      </c>
      <c r="H74" s="143">
        <f>48.9+41.1</f>
        <v>90</v>
      </c>
      <c r="I74" s="146">
        <f>76.9+23.1</f>
        <v>100</v>
      </c>
      <c r="J74" s="144">
        <f>42+48.6</f>
        <v>90.6</v>
      </c>
      <c r="K74" s="114">
        <f>76.9+15.4</f>
        <v>92.300000000000011</v>
      </c>
      <c r="L74" s="143">
        <f>63.7+30.6</f>
        <v>94.300000000000011</v>
      </c>
      <c r="M74" s="146">
        <v>76.900000000000006</v>
      </c>
      <c r="N74" s="144">
        <v>78.400000000000006</v>
      </c>
    </row>
    <row r="75" spans="1:15" ht="18.75" customHeight="1" x14ac:dyDescent="0.25">
      <c r="A75" s="247"/>
      <c r="B75" s="111" t="s">
        <v>179</v>
      </c>
      <c r="C75" s="113">
        <v>15</v>
      </c>
      <c r="D75" s="159">
        <v>1009</v>
      </c>
      <c r="E75" s="146">
        <v>80</v>
      </c>
      <c r="F75" s="144">
        <v>82.5</v>
      </c>
      <c r="G75" s="114">
        <f>58.3+41.7</f>
        <v>100</v>
      </c>
      <c r="H75" s="143">
        <f>54.6+37.7</f>
        <v>92.300000000000011</v>
      </c>
      <c r="I75" s="146">
        <f>50+50</f>
        <v>100</v>
      </c>
      <c r="J75" s="144">
        <f>45.8+48.4</f>
        <v>94.199999999999989</v>
      </c>
      <c r="K75" s="114">
        <f>58.3+33.3</f>
        <v>91.6</v>
      </c>
      <c r="L75" s="143">
        <f>62.5+29.6</f>
        <v>92.1</v>
      </c>
      <c r="M75" s="146">
        <v>83.3</v>
      </c>
      <c r="N75" s="144">
        <v>77.5</v>
      </c>
    </row>
    <row r="76" spans="1:15" ht="30" x14ac:dyDescent="0.25">
      <c r="A76" s="181" t="s">
        <v>200</v>
      </c>
      <c r="B76" s="116" t="s">
        <v>144</v>
      </c>
      <c r="C76" s="117">
        <v>27</v>
      </c>
      <c r="D76" s="139">
        <v>507</v>
      </c>
      <c r="E76" s="148">
        <v>92.6</v>
      </c>
      <c r="F76" s="150">
        <v>88.6</v>
      </c>
      <c r="G76" s="118">
        <f>32+52</f>
        <v>84</v>
      </c>
      <c r="H76" s="142">
        <f>33.2+51.7</f>
        <v>84.9</v>
      </c>
      <c r="I76" s="148">
        <f>48+48</f>
        <v>96</v>
      </c>
      <c r="J76" s="150">
        <f>28.7+63.9</f>
        <v>92.6</v>
      </c>
      <c r="K76" s="118">
        <f>56+36</f>
        <v>92</v>
      </c>
      <c r="L76" s="142">
        <f>50.8+41.6</f>
        <v>92.4</v>
      </c>
      <c r="M76" s="148">
        <v>72</v>
      </c>
      <c r="N76" s="145">
        <v>66.099999999999994</v>
      </c>
      <c r="O76" s="180"/>
    </row>
    <row r="77" spans="1:15" ht="30" x14ac:dyDescent="0.25">
      <c r="A77" s="128" t="s">
        <v>145</v>
      </c>
      <c r="B77" s="123" t="s">
        <v>146</v>
      </c>
      <c r="C77" s="124">
        <v>72</v>
      </c>
      <c r="D77" s="138">
        <v>4775</v>
      </c>
      <c r="E77" s="146">
        <v>100</v>
      </c>
      <c r="F77" s="149">
        <v>96</v>
      </c>
      <c r="G77" s="114">
        <f>43.1+52.8</f>
        <v>95.9</v>
      </c>
      <c r="H77" s="140">
        <f>43.6+47.9</f>
        <v>91.5</v>
      </c>
      <c r="I77" s="102">
        <f>25+59.7</f>
        <v>84.7</v>
      </c>
      <c r="J77" s="149">
        <f>23.9+62.4</f>
        <v>86.3</v>
      </c>
      <c r="K77" s="114">
        <f>36.1+31.9</f>
        <v>68</v>
      </c>
      <c r="L77" s="140">
        <f>35.1+41.9</f>
        <v>77</v>
      </c>
      <c r="M77" s="153">
        <v>81.900000000000006</v>
      </c>
      <c r="N77" s="158">
        <v>68.2</v>
      </c>
    </row>
    <row r="78" spans="1:15" x14ac:dyDescent="0.25">
      <c r="A78" s="129" t="s">
        <v>147</v>
      </c>
      <c r="B78" s="112" t="s">
        <v>146</v>
      </c>
      <c r="C78" s="119">
        <v>105</v>
      </c>
      <c r="D78" s="138">
        <v>4775</v>
      </c>
      <c r="E78" s="146">
        <v>99</v>
      </c>
      <c r="F78" s="149">
        <v>96</v>
      </c>
      <c r="G78" s="114">
        <f>40.4+52.9</f>
        <v>93.3</v>
      </c>
      <c r="H78" s="140">
        <f>43.6+47.9</f>
        <v>91.5</v>
      </c>
      <c r="I78" s="146">
        <f>16.3+73.1</f>
        <v>89.399999999999991</v>
      </c>
      <c r="J78" s="149">
        <f>23.9+62.4</f>
        <v>86.3</v>
      </c>
      <c r="K78" s="114">
        <f>27.9+43.3</f>
        <v>71.199999999999989</v>
      </c>
      <c r="L78" s="140">
        <f>35.1+41.9</f>
        <v>77</v>
      </c>
      <c r="M78" s="146">
        <v>70.2</v>
      </c>
      <c r="N78" s="144">
        <v>68.2</v>
      </c>
    </row>
    <row r="79" spans="1:15" x14ac:dyDescent="0.25">
      <c r="A79" s="111" t="s">
        <v>33</v>
      </c>
      <c r="B79" s="112" t="s">
        <v>148</v>
      </c>
      <c r="C79" s="119">
        <v>191</v>
      </c>
      <c r="D79" s="138">
        <v>12463</v>
      </c>
      <c r="E79" s="146">
        <v>97.9</v>
      </c>
      <c r="F79" s="149">
        <v>91.3</v>
      </c>
      <c r="G79" s="114">
        <f>47.6+41.7</f>
        <v>89.300000000000011</v>
      </c>
      <c r="H79" s="140">
        <f>41+47.6</f>
        <v>88.6</v>
      </c>
      <c r="I79" s="146">
        <f>24.6+62</f>
        <v>86.6</v>
      </c>
      <c r="J79" s="149">
        <f>23+58.1</f>
        <v>81.099999999999994</v>
      </c>
      <c r="K79" s="114">
        <f>42.8+43.9</f>
        <v>86.699999999999989</v>
      </c>
      <c r="L79" s="140">
        <f>33.1+42.7</f>
        <v>75.800000000000011</v>
      </c>
      <c r="M79" s="146">
        <v>76.5</v>
      </c>
      <c r="N79" s="149">
        <v>69.900000000000006</v>
      </c>
    </row>
    <row r="80" spans="1:15" x14ac:dyDescent="0.25">
      <c r="A80" s="130" t="s">
        <v>149</v>
      </c>
      <c r="B80" s="116" t="s">
        <v>150</v>
      </c>
      <c r="C80" s="121">
        <v>180</v>
      </c>
      <c r="D80" s="138">
        <v>10181</v>
      </c>
      <c r="E80" s="148">
        <v>97.2</v>
      </c>
      <c r="F80" s="149">
        <v>93.1</v>
      </c>
      <c r="G80" s="118">
        <f>31.4+56.6</f>
        <v>88</v>
      </c>
      <c r="H80" s="140">
        <f>30.7+54.9</f>
        <v>85.6</v>
      </c>
      <c r="I80" s="148">
        <f>12+54.3</f>
        <v>66.3</v>
      </c>
      <c r="J80" s="149">
        <f>13.8+59.1</f>
        <v>72.900000000000006</v>
      </c>
      <c r="K80" s="118">
        <f>25.1+40.6</f>
        <v>65.7</v>
      </c>
      <c r="L80" s="140">
        <f>26.4+41.9</f>
        <v>68.3</v>
      </c>
      <c r="M80" s="146">
        <v>58.9</v>
      </c>
      <c r="N80" s="145">
        <v>65.8</v>
      </c>
    </row>
    <row r="81" spans="1:14" x14ac:dyDescent="0.25">
      <c r="A81" s="34" t="s">
        <v>39</v>
      </c>
      <c r="B81" s="35"/>
      <c r="C81" s="6">
        <v>3029</v>
      </c>
      <c r="D81" s="160">
        <v>290224</v>
      </c>
      <c r="E81" s="70">
        <v>95.5</v>
      </c>
      <c r="F81" s="161">
        <v>92.5</v>
      </c>
      <c r="G81" s="39">
        <f>44.8+46.6</f>
        <v>91.4</v>
      </c>
      <c r="H81" s="162">
        <f>41+49.1</f>
        <v>90.1</v>
      </c>
      <c r="I81" s="155">
        <f>29.4+59.4</f>
        <v>88.8</v>
      </c>
      <c r="J81" s="163">
        <f>25.3+62.5</f>
        <v>87.8</v>
      </c>
      <c r="K81" s="82">
        <f>46.4+39.5</f>
        <v>85.9</v>
      </c>
      <c r="L81" s="162">
        <f>41.5+43.1</f>
        <v>84.6</v>
      </c>
      <c r="M81" s="156">
        <f>72.3+7.8</f>
        <v>80.099999999999994</v>
      </c>
      <c r="N81" s="161">
        <f>71.6+9.1</f>
        <v>80.699999999999989</v>
      </c>
    </row>
    <row r="82" spans="1:14" ht="15" customHeight="1" x14ac:dyDescent="0.25">
      <c r="A82" s="210" t="s">
        <v>203</v>
      </c>
      <c r="B82" s="210"/>
      <c r="C82" s="210"/>
      <c r="D82" s="210"/>
      <c r="E82" s="210"/>
      <c r="F82" s="210"/>
    </row>
    <row r="83" spans="1:14" x14ac:dyDescent="0.25">
      <c r="A83" s="182" t="s">
        <v>198</v>
      </c>
    </row>
  </sheetData>
  <mergeCells count="59">
    <mergeCell ref="I41:J41"/>
    <mergeCell ref="K41:L41"/>
    <mergeCell ref="M41:N41"/>
    <mergeCell ref="A82:F82"/>
    <mergeCell ref="A55:A56"/>
    <mergeCell ref="B55:B56"/>
    <mergeCell ref="C55:D55"/>
    <mergeCell ref="E55:F55"/>
    <mergeCell ref="A74:A75"/>
    <mergeCell ref="A67:A68"/>
    <mergeCell ref="B67:B68"/>
    <mergeCell ref="C67:D67"/>
    <mergeCell ref="E67:F67"/>
    <mergeCell ref="G41:H41"/>
    <mergeCell ref="G55:H55"/>
    <mergeCell ref="B41:B42"/>
    <mergeCell ref="I36:J36"/>
    <mergeCell ref="K36:L36"/>
    <mergeCell ref="A1:N1"/>
    <mergeCell ref="I3:J3"/>
    <mergeCell ref="K3:L3"/>
    <mergeCell ref="M3:N3"/>
    <mergeCell ref="A14:A15"/>
    <mergeCell ref="B14:B15"/>
    <mergeCell ref="C14:D14"/>
    <mergeCell ref="E14:F14"/>
    <mergeCell ref="G14:H14"/>
    <mergeCell ref="I14:J14"/>
    <mergeCell ref="K14:L14"/>
    <mergeCell ref="M14:N14"/>
    <mergeCell ref="A3:A4"/>
    <mergeCell ref="M36:N36"/>
    <mergeCell ref="A36:A37"/>
    <mergeCell ref="B36:B37"/>
    <mergeCell ref="C36:D36"/>
    <mergeCell ref="E36:F36"/>
    <mergeCell ref="G3:H3"/>
    <mergeCell ref="C41:D41"/>
    <mergeCell ref="E41:F41"/>
    <mergeCell ref="G67:H67"/>
    <mergeCell ref="B3:B4"/>
    <mergeCell ref="C3:D3"/>
    <mergeCell ref="E3:F3"/>
    <mergeCell ref="I67:J67"/>
    <mergeCell ref="K67:L67"/>
    <mergeCell ref="M67:N67"/>
    <mergeCell ref="A27:A28"/>
    <mergeCell ref="B27:B28"/>
    <mergeCell ref="C27:D27"/>
    <mergeCell ref="E27:F27"/>
    <mergeCell ref="G27:H27"/>
    <mergeCell ref="I27:J27"/>
    <mergeCell ref="K27:L27"/>
    <mergeCell ref="M27:N27"/>
    <mergeCell ref="G36:H36"/>
    <mergeCell ref="I55:J55"/>
    <mergeCell ref="K55:L55"/>
    <mergeCell ref="M55:N55"/>
    <mergeCell ref="A41:A42"/>
  </mergeCells>
  <pageMargins left="0.7" right="0.7" top="0.75" bottom="0.75" header="0.3" footer="0.3"/>
  <pageSetup paperSize="9" scale="91" fitToHeight="0" orientation="landscape" r:id="rId1"/>
  <rowBreaks count="5" manualBreakCount="5">
    <brk id="13" max="13" man="1"/>
    <brk id="26" max="13" man="1"/>
    <brk id="35" max="16383" man="1"/>
    <brk id="40" max="13" man="1"/>
    <brk id="54" max="16383" man="1"/>
  </rowBreaks>
  <ignoredErrors>
    <ignoredError sqref="H19 J19 L19 H25 J45 J3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3" sqref="A23"/>
    </sheetView>
  </sheetViews>
  <sheetFormatPr defaultRowHeight="15" x14ac:dyDescent="0.25"/>
  <cols>
    <col min="1" max="1" width="33.85546875" customWidth="1"/>
    <col min="2" max="7" width="15.7109375" customWidth="1"/>
  </cols>
  <sheetData>
    <row r="1" spans="1:9" x14ac:dyDescent="0.25">
      <c r="A1" s="248" t="s">
        <v>192</v>
      </c>
      <c r="B1" s="248"/>
      <c r="C1" s="248"/>
      <c r="D1" s="248"/>
      <c r="E1" s="248"/>
      <c r="F1" s="248"/>
    </row>
    <row r="2" spans="1:9" ht="15.75" x14ac:dyDescent="0.25">
      <c r="A2" s="12"/>
      <c r="B2" s="252" t="s">
        <v>188</v>
      </c>
      <c r="C2" s="253"/>
      <c r="D2" s="252" t="s">
        <v>156</v>
      </c>
      <c r="E2" s="253"/>
      <c r="F2" s="252" t="s">
        <v>151</v>
      </c>
      <c r="G2" s="253"/>
      <c r="I2" s="38"/>
    </row>
    <row r="3" spans="1:9" ht="75.75" customHeight="1" x14ac:dyDescent="0.25">
      <c r="A3" s="68" t="s">
        <v>158</v>
      </c>
      <c r="B3" s="25" t="s">
        <v>159</v>
      </c>
      <c r="C3" s="26" t="s">
        <v>160</v>
      </c>
      <c r="D3" s="29" t="s">
        <v>161</v>
      </c>
      <c r="E3" s="26" t="s">
        <v>160</v>
      </c>
      <c r="F3" s="29" t="s">
        <v>161</v>
      </c>
      <c r="G3" s="26" t="s">
        <v>160</v>
      </c>
    </row>
    <row r="4" spans="1:9" x14ac:dyDescent="0.25">
      <c r="A4" s="28" t="s">
        <v>4</v>
      </c>
      <c r="B4">
        <v>36.6</v>
      </c>
      <c r="C4" s="14">
        <v>52.1</v>
      </c>
      <c r="D4">
        <v>34.5</v>
      </c>
      <c r="E4">
        <v>50.8</v>
      </c>
      <c r="F4" s="51">
        <v>31.3</v>
      </c>
      <c r="G4" s="52">
        <v>52.6</v>
      </c>
    </row>
    <row r="5" spans="1:9" x14ac:dyDescent="0.25">
      <c r="A5" s="27" t="s">
        <v>5</v>
      </c>
      <c r="B5">
        <v>26.2</v>
      </c>
      <c r="C5" s="13">
        <v>49.2</v>
      </c>
      <c r="D5">
        <v>25.1</v>
      </c>
      <c r="E5">
        <v>48.5</v>
      </c>
      <c r="F5" s="53">
        <v>24.3</v>
      </c>
      <c r="G5" s="54">
        <v>47.7</v>
      </c>
    </row>
    <row r="6" spans="1:9" x14ac:dyDescent="0.25">
      <c r="A6" s="249"/>
      <c r="B6" s="250"/>
      <c r="C6" s="250"/>
      <c r="D6" s="250"/>
      <c r="E6" s="250"/>
      <c r="F6" s="250"/>
      <c r="G6" s="251"/>
    </row>
    <row r="7" spans="1:9" ht="30" x14ac:dyDescent="0.25">
      <c r="A7" s="67" t="s">
        <v>162</v>
      </c>
      <c r="B7" s="25" t="s">
        <v>163</v>
      </c>
      <c r="C7" s="26" t="s">
        <v>164</v>
      </c>
      <c r="D7" s="25" t="s">
        <v>163</v>
      </c>
      <c r="E7" s="26" t="s">
        <v>164</v>
      </c>
      <c r="F7" s="25" t="s">
        <v>163</v>
      </c>
      <c r="G7" s="26" t="s">
        <v>164</v>
      </c>
    </row>
    <row r="8" spans="1:9" x14ac:dyDescent="0.25">
      <c r="A8" s="28" t="s">
        <v>4</v>
      </c>
      <c r="B8">
        <v>64.099999999999994</v>
      </c>
      <c r="C8" s="14">
        <v>35.9</v>
      </c>
      <c r="D8">
        <v>58.9</v>
      </c>
      <c r="E8">
        <v>41.1</v>
      </c>
      <c r="F8" s="51">
        <v>54.1</v>
      </c>
      <c r="G8" s="52">
        <v>45.9</v>
      </c>
    </row>
    <row r="9" spans="1:9" x14ac:dyDescent="0.25">
      <c r="A9" s="27" t="s">
        <v>5</v>
      </c>
      <c r="B9">
        <v>53.6</v>
      </c>
      <c r="C9" s="13">
        <v>46.4</v>
      </c>
      <c r="D9">
        <v>51.6</v>
      </c>
      <c r="E9">
        <v>48.4</v>
      </c>
      <c r="F9" s="55">
        <v>49.7</v>
      </c>
      <c r="G9" s="31">
        <v>50.3</v>
      </c>
    </row>
    <row r="10" spans="1:9" x14ac:dyDescent="0.25">
      <c r="A10" s="249"/>
      <c r="B10" s="250"/>
      <c r="C10" s="250"/>
      <c r="D10" s="250"/>
      <c r="E10" s="250"/>
      <c r="F10" s="250"/>
      <c r="G10" s="251"/>
    </row>
    <row r="11" spans="1:9" ht="30" x14ac:dyDescent="0.25">
      <c r="A11" s="67" t="s">
        <v>165</v>
      </c>
      <c r="B11" s="29" t="s">
        <v>166</v>
      </c>
      <c r="C11" s="26" t="s">
        <v>167</v>
      </c>
      <c r="D11" s="29" t="s">
        <v>168</v>
      </c>
      <c r="E11" s="26" t="s">
        <v>167</v>
      </c>
      <c r="F11" s="29" t="s">
        <v>166</v>
      </c>
      <c r="G11" s="26" t="s">
        <v>167</v>
      </c>
    </row>
    <row r="12" spans="1:9" x14ac:dyDescent="0.25">
      <c r="A12" s="28" t="s">
        <v>4</v>
      </c>
      <c r="B12" s="77">
        <v>53</v>
      </c>
      <c r="C12" s="47">
        <v>43.3</v>
      </c>
      <c r="D12">
        <v>50.4</v>
      </c>
      <c r="E12">
        <v>45.8</v>
      </c>
      <c r="F12" s="32">
        <v>48.3</v>
      </c>
      <c r="G12" s="33">
        <v>47.9</v>
      </c>
    </row>
    <row r="13" spans="1:9" x14ac:dyDescent="0.25">
      <c r="A13" s="27" t="s">
        <v>5</v>
      </c>
      <c r="B13" s="77">
        <v>41.5</v>
      </c>
      <c r="C13" s="48">
        <v>50.9</v>
      </c>
      <c r="D13">
        <v>39.200000000000003</v>
      </c>
      <c r="E13">
        <v>52.5</v>
      </c>
      <c r="F13" s="30">
        <v>37.4</v>
      </c>
      <c r="G13" s="31">
        <v>53.6</v>
      </c>
    </row>
    <row r="14" spans="1:9" x14ac:dyDescent="0.25">
      <c r="A14" s="249"/>
      <c r="B14" s="250"/>
      <c r="C14" s="250"/>
      <c r="D14" s="250"/>
      <c r="E14" s="250"/>
      <c r="F14" s="250"/>
      <c r="G14" s="251"/>
    </row>
    <row r="15" spans="1:9" ht="60" customHeight="1" x14ac:dyDescent="0.25">
      <c r="A15" s="67" t="s">
        <v>169</v>
      </c>
      <c r="B15" s="29" t="s">
        <v>161</v>
      </c>
      <c r="C15" s="26" t="s">
        <v>160</v>
      </c>
      <c r="D15" s="29" t="s">
        <v>161</v>
      </c>
      <c r="E15" s="26" t="s">
        <v>160</v>
      </c>
      <c r="F15" s="29" t="s">
        <v>161</v>
      </c>
      <c r="G15" s="26" t="s">
        <v>160</v>
      </c>
    </row>
    <row r="16" spans="1:9" x14ac:dyDescent="0.25">
      <c r="A16" s="28" t="s">
        <v>4</v>
      </c>
      <c r="B16" s="77">
        <v>32</v>
      </c>
      <c r="C16" s="47">
        <v>47.5</v>
      </c>
      <c r="D16">
        <v>28.9</v>
      </c>
      <c r="E16">
        <v>49.6</v>
      </c>
      <c r="F16" s="32">
        <v>25.3</v>
      </c>
      <c r="G16" s="33">
        <v>51.3</v>
      </c>
    </row>
    <row r="17" spans="1:7" x14ac:dyDescent="0.25">
      <c r="A17" s="27" t="s">
        <v>5</v>
      </c>
      <c r="B17" s="77">
        <v>25.2</v>
      </c>
      <c r="C17" s="77">
        <v>46</v>
      </c>
      <c r="D17" s="23">
        <v>23.4</v>
      </c>
      <c r="E17" s="13">
        <v>45.6</v>
      </c>
      <c r="F17" s="53">
        <v>22.2</v>
      </c>
      <c r="G17" s="31">
        <v>44.5</v>
      </c>
    </row>
    <row r="18" spans="1:7" x14ac:dyDescent="0.25">
      <c r="A18" s="210" t="s">
        <v>203</v>
      </c>
      <c r="B18" s="210"/>
      <c r="C18" s="210"/>
      <c r="D18" s="210"/>
      <c r="E18" s="210"/>
      <c r="F18" s="210"/>
    </row>
  </sheetData>
  <mergeCells count="8">
    <mergeCell ref="A18:F18"/>
    <mergeCell ref="A1:F1"/>
    <mergeCell ref="A10:G10"/>
    <mergeCell ref="A14:G14"/>
    <mergeCell ref="D2:E2"/>
    <mergeCell ref="F2:G2"/>
    <mergeCell ref="A6:G6"/>
    <mergeCell ref="B2:C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Normal="100" workbookViewId="0">
      <selection activeCell="A30" sqref="A30"/>
    </sheetView>
  </sheetViews>
  <sheetFormatPr defaultRowHeight="15" x14ac:dyDescent="0.25"/>
  <cols>
    <col min="1" max="1" width="17" customWidth="1"/>
    <col min="2" max="13" width="12.7109375" customWidth="1"/>
  </cols>
  <sheetData>
    <row r="1" spans="1:14" x14ac:dyDescent="0.25">
      <c r="A1" s="248" t="s">
        <v>193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14" x14ac:dyDescent="0.25">
      <c r="A2" s="73"/>
      <c r="B2" s="73"/>
      <c r="C2" s="73"/>
      <c r="D2" s="73"/>
      <c r="E2" s="73"/>
      <c r="F2" s="73"/>
    </row>
    <row r="3" spans="1:14" ht="54" customHeight="1" x14ac:dyDescent="0.25">
      <c r="B3" s="218" t="s">
        <v>170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35"/>
    </row>
    <row r="4" spans="1:14" x14ac:dyDescent="0.25">
      <c r="A4" s="73"/>
      <c r="B4" s="236" t="s">
        <v>188</v>
      </c>
      <c r="C4" s="237"/>
      <c r="D4" s="237"/>
      <c r="E4" s="238"/>
      <c r="F4" s="236" t="s">
        <v>156</v>
      </c>
      <c r="G4" s="237"/>
      <c r="H4" s="237"/>
      <c r="I4" s="238"/>
      <c r="J4" s="236" t="s">
        <v>151</v>
      </c>
      <c r="K4" s="237"/>
      <c r="L4" s="237"/>
      <c r="M4" s="238"/>
    </row>
    <row r="5" spans="1:14" ht="45" x14ac:dyDescent="0.25">
      <c r="A5" s="109" t="s">
        <v>30</v>
      </c>
      <c r="B5" s="71" t="s">
        <v>171</v>
      </c>
      <c r="C5" s="72" t="s">
        <v>172</v>
      </c>
      <c r="D5" s="72" t="s">
        <v>173</v>
      </c>
      <c r="E5" s="19" t="s">
        <v>174</v>
      </c>
      <c r="F5" s="71" t="s">
        <v>171</v>
      </c>
      <c r="G5" s="72" t="s">
        <v>172</v>
      </c>
      <c r="H5" s="72" t="s">
        <v>173</v>
      </c>
      <c r="I5" s="19" t="s">
        <v>174</v>
      </c>
      <c r="J5" s="71" t="s">
        <v>171</v>
      </c>
      <c r="K5" s="72" t="s">
        <v>172</v>
      </c>
      <c r="L5" s="72" t="s">
        <v>173</v>
      </c>
      <c r="M5" s="19" t="s">
        <v>174</v>
      </c>
    </row>
    <row r="6" spans="1:14" ht="30" x14ac:dyDescent="0.25">
      <c r="A6" s="108" t="s">
        <v>31</v>
      </c>
      <c r="B6" s="84">
        <v>40.6</v>
      </c>
      <c r="C6" s="84">
        <v>48.4</v>
      </c>
      <c r="D6" s="84">
        <v>10.9</v>
      </c>
      <c r="E6" s="87">
        <v>0</v>
      </c>
      <c r="F6" s="85">
        <v>42.9</v>
      </c>
      <c r="G6" s="86">
        <v>41.1</v>
      </c>
      <c r="H6" s="86">
        <v>16.100000000000001</v>
      </c>
      <c r="I6" s="87">
        <v>0</v>
      </c>
      <c r="J6" s="88">
        <v>36.4</v>
      </c>
      <c r="K6" s="89">
        <v>51.5</v>
      </c>
      <c r="L6" s="89">
        <v>9.1</v>
      </c>
      <c r="M6" s="90">
        <v>1.5</v>
      </c>
    </row>
    <row r="7" spans="1:14" ht="45" x14ac:dyDescent="0.25">
      <c r="A7" s="108" t="s">
        <v>40</v>
      </c>
      <c r="B7" s="84">
        <v>41.1</v>
      </c>
      <c r="C7" s="84">
        <v>46.3</v>
      </c>
      <c r="D7" s="84">
        <v>10.4</v>
      </c>
      <c r="E7" s="84">
        <v>1.7</v>
      </c>
      <c r="F7" s="85">
        <v>36.5</v>
      </c>
      <c r="G7" s="86">
        <v>50.6</v>
      </c>
      <c r="H7" s="86">
        <v>12.4</v>
      </c>
      <c r="I7" s="87">
        <v>0.4</v>
      </c>
      <c r="J7" s="85">
        <v>37.799999999999997</v>
      </c>
      <c r="K7" s="86">
        <v>45</v>
      </c>
      <c r="L7" s="86">
        <v>12.8</v>
      </c>
      <c r="M7" s="87">
        <v>4.4000000000000004</v>
      </c>
    </row>
    <row r="8" spans="1:14" ht="30" x14ac:dyDescent="0.25">
      <c r="A8" s="108" t="s">
        <v>32</v>
      </c>
      <c r="B8" s="84">
        <v>54.1</v>
      </c>
      <c r="C8" s="84">
        <v>41.9</v>
      </c>
      <c r="D8" s="84">
        <v>3.5</v>
      </c>
      <c r="E8" s="84">
        <v>0.4</v>
      </c>
      <c r="F8" s="85">
        <v>43.7</v>
      </c>
      <c r="G8" s="86">
        <v>52.4</v>
      </c>
      <c r="H8" s="86">
        <v>3</v>
      </c>
      <c r="I8" s="87">
        <v>0.9</v>
      </c>
      <c r="J8" s="85">
        <v>40.299999999999997</v>
      </c>
      <c r="K8" s="86">
        <v>47.2</v>
      </c>
      <c r="L8" s="86">
        <v>10.5</v>
      </c>
      <c r="M8" s="87">
        <v>1.2</v>
      </c>
      <c r="N8" s="77"/>
    </row>
    <row r="9" spans="1:14" ht="60" x14ac:dyDescent="0.25">
      <c r="A9" s="108" t="s">
        <v>45</v>
      </c>
      <c r="B9" s="84">
        <v>56.1</v>
      </c>
      <c r="C9" s="84">
        <v>34.799999999999997</v>
      </c>
      <c r="D9" s="84">
        <v>7.7</v>
      </c>
      <c r="E9" s="84">
        <v>1.3</v>
      </c>
      <c r="F9" s="85">
        <v>58.8</v>
      </c>
      <c r="G9" s="86">
        <v>32.4</v>
      </c>
      <c r="H9" s="86">
        <v>7.4</v>
      </c>
      <c r="I9" s="87">
        <v>1.5</v>
      </c>
      <c r="J9" s="85">
        <v>64.900000000000006</v>
      </c>
      <c r="K9" s="86">
        <v>31.9</v>
      </c>
      <c r="L9" s="86">
        <v>2.1</v>
      </c>
      <c r="M9" s="87">
        <v>1.1000000000000001</v>
      </c>
    </row>
    <row r="10" spans="1:14" x14ac:dyDescent="0.25">
      <c r="A10" s="108" t="s">
        <v>33</v>
      </c>
      <c r="B10" s="84">
        <v>65.099999999999994</v>
      </c>
      <c r="C10" s="84">
        <v>28.5</v>
      </c>
      <c r="D10" s="84">
        <v>5.2</v>
      </c>
      <c r="E10" s="84">
        <v>0.4</v>
      </c>
      <c r="F10" s="85">
        <v>57.4</v>
      </c>
      <c r="G10" s="86">
        <v>35.700000000000003</v>
      </c>
      <c r="H10" s="86">
        <v>5.7</v>
      </c>
      <c r="I10" s="87">
        <v>0.9</v>
      </c>
      <c r="J10" s="85">
        <v>58.5</v>
      </c>
      <c r="K10" s="86">
        <v>37.200000000000003</v>
      </c>
      <c r="L10" s="86">
        <v>3.4</v>
      </c>
      <c r="M10" s="87">
        <v>0.4</v>
      </c>
    </row>
    <row r="11" spans="1:14" ht="60" x14ac:dyDescent="0.25">
      <c r="A11" s="108" t="s">
        <v>34</v>
      </c>
      <c r="B11" s="84">
        <v>44.2</v>
      </c>
      <c r="C11" s="84">
        <v>40.6</v>
      </c>
      <c r="D11" s="84">
        <v>13.9</v>
      </c>
      <c r="E11" s="84">
        <v>1.2</v>
      </c>
      <c r="F11" s="85">
        <v>54</v>
      </c>
      <c r="G11" s="86">
        <v>40.299999999999997</v>
      </c>
      <c r="H11" s="86">
        <v>5.8</v>
      </c>
      <c r="I11" s="87">
        <v>0</v>
      </c>
      <c r="J11" s="85">
        <v>37.9</v>
      </c>
      <c r="K11" s="86">
        <v>54.9</v>
      </c>
      <c r="L11" s="86">
        <v>6.5</v>
      </c>
      <c r="M11" s="87">
        <v>0</v>
      </c>
    </row>
    <row r="12" spans="1:14" ht="45" x14ac:dyDescent="0.25">
      <c r="A12" s="108" t="s">
        <v>44</v>
      </c>
      <c r="B12" s="84">
        <v>48.9</v>
      </c>
      <c r="C12" s="84">
        <v>37.799999999999997</v>
      </c>
      <c r="D12" s="84">
        <v>12.6</v>
      </c>
      <c r="E12" s="84">
        <v>0.7</v>
      </c>
      <c r="F12" s="85">
        <v>39.6</v>
      </c>
      <c r="G12" s="86">
        <v>49.6</v>
      </c>
      <c r="H12" s="86">
        <v>9.4</v>
      </c>
      <c r="I12" s="87">
        <v>1.4</v>
      </c>
      <c r="J12" s="85">
        <v>44.8</v>
      </c>
      <c r="K12" s="86">
        <v>49.6</v>
      </c>
      <c r="L12" s="86">
        <v>4.8</v>
      </c>
      <c r="M12" s="87">
        <v>0.8</v>
      </c>
    </row>
    <row r="13" spans="1:14" ht="90" x14ac:dyDescent="0.25">
      <c r="A13" s="108" t="s">
        <v>46</v>
      </c>
      <c r="B13" s="84">
        <v>35.5</v>
      </c>
      <c r="C13" s="84">
        <v>50.2</v>
      </c>
      <c r="D13" s="84">
        <v>13.4</v>
      </c>
      <c r="E13" s="84">
        <v>0.9</v>
      </c>
      <c r="F13" s="85">
        <v>47.3</v>
      </c>
      <c r="G13" s="86">
        <v>45.7</v>
      </c>
      <c r="H13" s="86">
        <v>5.9</v>
      </c>
      <c r="I13" s="87">
        <v>0.5</v>
      </c>
      <c r="J13" s="85">
        <v>45</v>
      </c>
      <c r="K13" s="86">
        <v>43.9</v>
      </c>
      <c r="L13" s="86">
        <v>10.6</v>
      </c>
      <c r="M13" s="87">
        <v>0</v>
      </c>
    </row>
    <row r="14" spans="1:14" x14ac:dyDescent="0.25">
      <c r="A14" s="108" t="s">
        <v>35</v>
      </c>
      <c r="B14" s="84">
        <v>59.4</v>
      </c>
      <c r="C14" s="84">
        <v>33.299999999999997</v>
      </c>
      <c r="D14" s="84">
        <v>2.9</v>
      </c>
      <c r="E14" s="87">
        <v>0</v>
      </c>
      <c r="F14" s="85">
        <v>58.6</v>
      </c>
      <c r="G14" s="86">
        <v>34.299999999999997</v>
      </c>
      <c r="H14" s="86">
        <v>7.1</v>
      </c>
      <c r="I14" s="87">
        <v>0</v>
      </c>
      <c r="J14" s="85">
        <v>44.9</v>
      </c>
      <c r="K14" s="86">
        <v>43.8</v>
      </c>
      <c r="L14" s="86">
        <v>9</v>
      </c>
      <c r="M14" s="87">
        <v>1.1000000000000001</v>
      </c>
    </row>
    <row r="15" spans="1:14" ht="45" x14ac:dyDescent="0.25">
      <c r="A15" s="108" t="s">
        <v>41</v>
      </c>
      <c r="B15" s="84">
        <v>50</v>
      </c>
      <c r="C15" s="84">
        <v>38.299999999999997</v>
      </c>
      <c r="D15" s="84">
        <v>10</v>
      </c>
      <c r="E15" s="84">
        <v>1.7</v>
      </c>
      <c r="F15" s="85">
        <v>60</v>
      </c>
      <c r="G15" s="86">
        <v>36.700000000000003</v>
      </c>
      <c r="H15" s="86">
        <v>3.3</v>
      </c>
      <c r="I15" s="87">
        <v>0</v>
      </c>
      <c r="J15" s="85">
        <v>57.1</v>
      </c>
      <c r="K15" s="86">
        <v>38.1</v>
      </c>
      <c r="L15" s="86">
        <v>3.2</v>
      </c>
      <c r="M15" s="87">
        <v>1.6</v>
      </c>
    </row>
    <row r="16" spans="1:14" ht="45" x14ac:dyDescent="0.25">
      <c r="A16" s="110" t="s">
        <v>36</v>
      </c>
      <c r="B16" s="84">
        <v>21.9</v>
      </c>
      <c r="C16" s="84">
        <v>53.2</v>
      </c>
      <c r="D16" s="84">
        <v>20.9</v>
      </c>
      <c r="E16" s="84">
        <v>3.7</v>
      </c>
      <c r="F16" s="91">
        <v>19.8</v>
      </c>
      <c r="G16" s="92">
        <v>54.8</v>
      </c>
      <c r="H16" s="92">
        <v>20.5</v>
      </c>
      <c r="I16" s="93">
        <v>4.5999999999999996</v>
      </c>
      <c r="J16" s="91">
        <v>27.2</v>
      </c>
      <c r="K16" s="92">
        <v>49.4</v>
      </c>
      <c r="L16" s="92">
        <v>19.399999999999999</v>
      </c>
      <c r="M16" s="93">
        <v>3.5</v>
      </c>
    </row>
    <row r="17" spans="1:13" ht="54" customHeight="1" x14ac:dyDescent="0.25">
      <c r="B17" s="218" t="s">
        <v>170</v>
      </c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35"/>
    </row>
    <row r="18" spans="1:13" x14ac:dyDescent="0.25">
      <c r="A18" s="81"/>
      <c r="B18" s="236" t="s">
        <v>188</v>
      </c>
      <c r="C18" s="237"/>
      <c r="D18" s="237"/>
      <c r="E18" s="238"/>
      <c r="F18" s="236" t="s">
        <v>156</v>
      </c>
      <c r="G18" s="237"/>
      <c r="H18" s="237"/>
      <c r="I18" s="238"/>
      <c r="J18" s="236" t="s">
        <v>151</v>
      </c>
      <c r="K18" s="237"/>
      <c r="L18" s="237"/>
      <c r="M18" s="238"/>
    </row>
    <row r="19" spans="1:13" ht="45" x14ac:dyDescent="0.25">
      <c r="A19" s="109" t="s">
        <v>30</v>
      </c>
      <c r="B19" s="80" t="s">
        <v>171</v>
      </c>
      <c r="C19" s="78" t="s">
        <v>172</v>
      </c>
      <c r="D19" s="78" t="s">
        <v>173</v>
      </c>
      <c r="E19" s="79" t="s">
        <v>174</v>
      </c>
      <c r="F19" s="80" t="s">
        <v>171</v>
      </c>
      <c r="G19" s="78" t="s">
        <v>172</v>
      </c>
      <c r="H19" s="78" t="s">
        <v>173</v>
      </c>
      <c r="I19" s="79" t="s">
        <v>174</v>
      </c>
      <c r="J19" s="80" t="s">
        <v>171</v>
      </c>
      <c r="K19" s="78" t="s">
        <v>172</v>
      </c>
      <c r="L19" s="78" t="s">
        <v>173</v>
      </c>
      <c r="M19" s="79" t="s">
        <v>174</v>
      </c>
    </row>
    <row r="20" spans="1:13" ht="30" x14ac:dyDescent="0.25">
      <c r="A20" s="108" t="s">
        <v>42</v>
      </c>
      <c r="B20" s="84">
        <v>64</v>
      </c>
      <c r="C20" s="84">
        <v>30.1</v>
      </c>
      <c r="D20" s="84">
        <v>4.4000000000000004</v>
      </c>
      <c r="E20" s="84">
        <v>0.7</v>
      </c>
      <c r="F20" s="85">
        <v>67.3</v>
      </c>
      <c r="G20" s="86">
        <v>30.2</v>
      </c>
      <c r="H20" s="86">
        <v>1.9</v>
      </c>
      <c r="I20" s="87">
        <v>0</v>
      </c>
      <c r="J20" s="85">
        <v>60.2</v>
      </c>
      <c r="K20" s="86">
        <v>38.200000000000003</v>
      </c>
      <c r="L20" s="86">
        <v>1.6</v>
      </c>
      <c r="M20" s="87">
        <v>0</v>
      </c>
    </row>
    <row r="21" spans="1:13" ht="45" x14ac:dyDescent="0.25">
      <c r="A21" s="108" t="s">
        <v>43</v>
      </c>
      <c r="B21" s="84">
        <v>44.6</v>
      </c>
      <c r="C21" s="84">
        <v>46.7</v>
      </c>
      <c r="D21" s="84">
        <v>7.7</v>
      </c>
      <c r="E21" s="84">
        <v>0.5</v>
      </c>
      <c r="F21" s="85">
        <v>67.3</v>
      </c>
      <c r="G21" s="86">
        <v>30.2</v>
      </c>
      <c r="H21" s="86">
        <v>1.9</v>
      </c>
      <c r="I21" s="87">
        <v>0</v>
      </c>
      <c r="J21" s="85">
        <v>41.8</v>
      </c>
      <c r="K21" s="86">
        <v>46.4</v>
      </c>
      <c r="L21" s="86">
        <v>9.1999999999999993</v>
      </c>
      <c r="M21" s="87">
        <v>2.6</v>
      </c>
    </row>
    <row r="22" spans="1:13" ht="30" x14ac:dyDescent="0.25">
      <c r="A22" s="108" t="s">
        <v>37</v>
      </c>
      <c r="B22" s="84">
        <v>59.2</v>
      </c>
      <c r="C22" s="84">
        <v>36.1</v>
      </c>
      <c r="D22" s="84">
        <v>4.8</v>
      </c>
      <c r="E22" s="87">
        <v>0</v>
      </c>
      <c r="F22" s="85">
        <v>57.1</v>
      </c>
      <c r="G22" s="86">
        <v>36.200000000000003</v>
      </c>
      <c r="H22" s="86">
        <v>6.1</v>
      </c>
      <c r="I22" s="87">
        <v>0.6</v>
      </c>
      <c r="J22" s="85">
        <v>50.8</v>
      </c>
      <c r="K22" s="86">
        <v>40.9</v>
      </c>
      <c r="L22" s="86">
        <v>7.2</v>
      </c>
      <c r="M22" s="87">
        <v>1.1000000000000001</v>
      </c>
    </row>
    <row r="23" spans="1:13" ht="30" x14ac:dyDescent="0.25">
      <c r="A23" s="108" t="s">
        <v>38</v>
      </c>
      <c r="B23" s="84">
        <v>44.6</v>
      </c>
      <c r="C23" s="84">
        <v>46.6</v>
      </c>
      <c r="D23" s="84">
        <v>7.7</v>
      </c>
      <c r="E23" s="84">
        <v>0.9</v>
      </c>
      <c r="F23" s="91">
        <v>37.1</v>
      </c>
      <c r="G23" s="92">
        <v>51.9</v>
      </c>
      <c r="H23" s="92">
        <v>9.3000000000000007</v>
      </c>
      <c r="I23" s="93">
        <v>1.4</v>
      </c>
      <c r="J23" s="91">
        <v>35.200000000000003</v>
      </c>
      <c r="K23" s="92">
        <v>53.1</v>
      </c>
      <c r="L23" s="92">
        <v>10.8</v>
      </c>
      <c r="M23" s="93">
        <v>0.7</v>
      </c>
    </row>
    <row r="24" spans="1:13" x14ac:dyDescent="0.25">
      <c r="A24" s="40" t="s">
        <v>39</v>
      </c>
      <c r="B24" s="94">
        <v>46.1</v>
      </c>
      <c r="C24" s="95">
        <v>42.6</v>
      </c>
      <c r="D24" s="95">
        <v>9.8000000000000007</v>
      </c>
      <c r="E24" s="96">
        <v>1.2</v>
      </c>
      <c r="F24" s="94">
        <v>43.9</v>
      </c>
      <c r="G24" s="95">
        <v>45.2</v>
      </c>
      <c r="H24" s="95">
        <v>9.3000000000000007</v>
      </c>
      <c r="I24" s="96">
        <v>1.4</v>
      </c>
      <c r="J24" s="94">
        <v>42.6</v>
      </c>
      <c r="K24" s="95">
        <v>46.1</v>
      </c>
      <c r="L24" s="95">
        <v>9.5</v>
      </c>
      <c r="M24" s="96">
        <v>1.4</v>
      </c>
    </row>
    <row r="25" spans="1:13" x14ac:dyDescent="0.25">
      <c r="A25" s="40" t="s">
        <v>5</v>
      </c>
      <c r="B25" s="97">
        <v>35.9</v>
      </c>
      <c r="C25" s="97">
        <v>47</v>
      </c>
      <c r="D25" s="97">
        <v>14</v>
      </c>
      <c r="E25" s="97">
        <v>2.8</v>
      </c>
      <c r="F25" s="94">
        <v>35</v>
      </c>
      <c r="G25" s="95">
        <v>47.1</v>
      </c>
      <c r="H25" s="95">
        <v>14.6</v>
      </c>
      <c r="I25" s="96">
        <v>3</v>
      </c>
      <c r="J25" s="98">
        <v>33.6</v>
      </c>
      <c r="K25" s="99">
        <v>47.2</v>
      </c>
      <c r="L25" s="99">
        <v>15.7</v>
      </c>
      <c r="M25" s="100">
        <v>3.2</v>
      </c>
    </row>
    <row r="26" spans="1:13" ht="15" customHeight="1" x14ac:dyDescent="0.25">
      <c r="A26" s="210" t="s">
        <v>203</v>
      </c>
      <c r="B26" s="210"/>
      <c r="C26" s="210"/>
      <c r="D26" s="210"/>
      <c r="E26" s="210"/>
      <c r="F26" s="210"/>
    </row>
  </sheetData>
  <mergeCells count="10">
    <mergeCell ref="A1:M1"/>
    <mergeCell ref="B4:E4"/>
    <mergeCell ref="F4:I4"/>
    <mergeCell ref="B3:M3"/>
    <mergeCell ref="A26:F26"/>
    <mergeCell ref="B17:M17"/>
    <mergeCell ref="B18:E18"/>
    <mergeCell ref="F18:I18"/>
    <mergeCell ref="J18:M18"/>
    <mergeCell ref="J4:M4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Copertina</vt:lpstr>
      <vt:lpstr>Ateneo</vt:lpstr>
      <vt:lpstr>Dipartimenti</vt:lpstr>
      <vt:lpstr>CdS</vt:lpstr>
      <vt:lpstr>Strutture</vt:lpstr>
      <vt:lpstr>Organizzazione esami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2021-05-28T10:15:07Z</dcterms:modified>
</cp:coreProperties>
</file>