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DA80E01-05CF-45A5-A2FD-786BBAE5539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Copertina" sheetId="6" r:id="rId1"/>
    <sheet name="Ateneo" sheetId="1" r:id="rId2"/>
    <sheet name="Dipartimenti" sheetId="4" r:id="rId3"/>
    <sheet name="CdS" sheetId="3" r:id="rId4"/>
    <sheet name="Strutture" sheetId="5" r:id="rId5"/>
    <sheet name="Organizzazione esami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6" i="3" l="1"/>
  <c r="J76" i="3"/>
  <c r="H76" i="3"/>
  <c r="L75" i="3"/>
  <c r="J75" i="3"/>
  <c r="H75" i="3"/>
  <c r="L32" i="3" l="1"/>
  <c r="J32" i="3"/>
  <c r="H32" i="3"/>
  <c r="L22" i="3" l="1"/>
  <c r="J22" i="3"/>
  <c r="H22" i="3"/>
  <c r="L19" i="3"/>
  <c r="J19" i="3"/>
  <c r="H19" i="3"/>
  <c r="L21" i="3"/>
  <c r="L17" i="3" l="1"/>
  <c r="D19" i="4" l="1"/>
  <c r="C19" i="4"/>
  <c r="B19" i="4"/>
  <c r="C20" i="4"/>
  <c r="B20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E6" i="4"/>
  <c r="D6" i="4"/>
  <c r="C6" i="4"/>
  <c r="B6" i="4"/>
  <c r="D5" i="4"/>
  <c r="C5" i="4"/>
  <c r="B5" i="4"/>
  <c r="D4" i="4"/>
  <c r="C4" i="4"/>
  <c r="B4" i="4"/>
  <c r="K24" i="1" l="1"/>
  <c r="K25" i="1"/>
  <c r="K23" i="1"/>
  <c r="K26" i="1"/>
  <c r="I25" i="1"/>
  <c r="I24" i="1"/>
  <c r="I23" i="1"/>
  <c r="I26" i="1"/>
  <c r="G26" i="1"/>
  <c r="G18" i="4" l="1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G6" i="4"/>
  <c r="F6" i="4"/>
  <c r="G5" i="4"/>
  <c r="F5" i="4"/>
  <c r="E5" i="4"/>
  <c r="G4" i="4"/>
  <c r="F4" i="4"/>
  <c r="E4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J4" i="4"/>
  <c r="I4" i="4"/>
  <c r="H4" i="4"/>
</calcChain>
</file>

<file path=xl/sharedStrings.xml><?xml version="1.0" encoding="utf-8"?>
<sst xmlns="http://schemas.openxmlformats.org/spreadsheetml/2006/main" count="544" uniqueCount="214">
  <si>
    <t>Tipologia di laurea</t>
  </si>
  <si>
    <t>Numero laureati</t>
  </si>
  <si>
    <t>% femmine</t>
  </si>
  <si>
    <t>% cittadinanza straniera</t>
  </si>
  <si>
    <t>Unisi</t>
  </si>
  <si>
    <t>Nazionale</t>
  </si>
  <si>
    <t>Tutti i tipi di CdS</t>
  </si>
  <si>
    <t>% residenti altra regione</t>
  </si>
  <si>
    <t>% laureati in corso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</si>
  <si>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</si>
  <si>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</si>
  <si>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</si>
  <si>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</si>
  <si>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</si>
  <si>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</si>
  <si>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</si>
  <si>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</si>
  <si>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</si>
  <si>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</si>
  <si>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</si>
  <si>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</si>
  <si>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</si>
  <si>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</si>
  <si>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</si>
  <si>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</si>
  <si>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</si>
  <si>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</si>
  <si>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</si>
  <si>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</si>
  <si>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</si>
  <si>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</si>
  <si>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</si>
  <si>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</si>
  <si>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</si>
  <si>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</si>
  <si>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</si>
  <si>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</si>
  <si>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</si>
  <si>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</si>
  <si>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</si>
  <si>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Laureati 2016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</si>
  <si>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</si>
  <si>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</si>
  <si>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</si>
  <si>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</si>
  <si>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</si>
  <si>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</si>
  <si>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Scienze della Formazione, Scienze umane e della Comunicazione interculturale</t>
  </si>
  <si>
    <t>Sono complessivamente soddisfatti del CdL/CdLM (%)</t>
  </si>
  <si>
    <t>Nucleo di Valutazione Università degli Studi di Siena</t>
  </si>
  <si>
    <t>Allegato statistico Rilevazione opinione dei laureandi</t>
  </si>
  <si>
    <t>CdS</t>
  </si>
  <si>
    <t>Classe</t>
  </si>
  <si>
    <t>Si iscriverebbero di nuovo allo stesso Corso dello stesso Ateneo (%)</t>
  </si>
  <si>
    <t>Biotecnologie</t>
  </si>
  <si>
    <t>L-2</t>
  </si>
  <si>
    <t>Consulente del Lavoro e delle Relazioni sindacali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</si>
  <si>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</si>
  <si>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</si>
  <si>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</si>
  <si>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</si>
  <si>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</si>
  <si>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</si>
  <si>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</si>
  <si>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</si>
  <si>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</si>
  <si>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</si>
  <si>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</si>
  <si>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</si>
  <si>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</si>
  <si>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</si>
  <si>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</si>
  <si>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</si>
  <si>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</si>
  <si>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</si>
  <si>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</si>
  <si>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</si>
  <si>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</si>
  <si>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</si>
  <si>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</si>
  <si>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</si>
  <si>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</si>
  <si>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</si>
  <si>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</si>
  <si>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</si>
  <si>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</si>
  <si>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</si>
  <si>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</si>
  <si>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</si>
  <si>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</si>
  <si>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</si>
  <si>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</si>
  <si>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</si>
  <si>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</si>
  <si>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</si>
  <si>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</si>
  <si>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</si>
  <si>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</si>
  <si>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</si>
  <si>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</si>
  <si>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</si>
  <si>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Fisiopatologia Cardiocircolatoria e Perfusione cardiovascolare (Abilitante alla Professione sanitaria di Tecnico di Fisiopatologia cardiocircolatoria e Perfusione cardiovascolare)*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</si>
  <si>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</si>
  <si>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</si>
  <si>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</si>
  <si>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</si>
  <si>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</si>
  <si>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</si>
  <si>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</si>
  <si>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</si>
  <si>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</si>
  <si>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Computer And Automation Engineering – Ingegneria Informatica e dell’Automazione</t>
  </si>
  <si>
    <t>LM-32</t>
  </si>
  <si>
    <t>Economia e Gestione degli Intermediari finanziari</t>
  </si>
  <si>
    <t>LM-77</t>
  </si>
  <si>
    <t>Economia/Economics</t>
  </si>
  <si>
    <t>LM-56</t>
  </si>
  <si>
    <t>Ecotossicologia e Sostenibilità ambientale</t>
  </si>
  <si>
    <t>LM-75</t>
  </si>
  <si>
    <t>Electronics And communications Engineering - Ingegneria elettronica e delle Telecomunicazioni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</si>
  <si>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</si>
  <si>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</si>
  <si>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</si>
  <si>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</si>
  <si>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</si>
  <si>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</si>
  <si>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</si>
  <si>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</si>
  <si>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</si>
  <si>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</si>
  <si>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</si>
  <si>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</si>
  <si>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</si>
  <si>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</si>
  <si>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</si>
  <si>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</si>
  <si>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</si>
  <si>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</si>
  <si>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</si>
  <si>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</si>
  <si>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</si>
  <si>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</si>
  <si>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</si>
  <si>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</si>
  <si>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Scienze statistiche per le Indagini campionarie</t>
  </si>
  <si>
    <t>LM-82</t>
  </si>
  <si>
    <t>Storia dell'Arte</t>
  </si>
  <si>
    <t>LM-89</t>
  </si>
  <si>
    <t>LM-92</t>
  </si>
  <si>
    <t>Chimica e Tecnologia farmaceutica</t>
  </si>
  <si>
    <t>LM-13</t>
  </si>
  <si>
    <t>Farmacia</t>
  </si>
  <si>
    <t>LMG/01</t>
  </si>
  <si>
    <t>Medicina e Chirurgia</t>
  </si>
  <si>
    <t>LM-41</t>
  </si>
  <si>
    <t>*I dati non vengono visualizzati per collettivi con meno di 5 laureati</t>
  </si>
  <si>
    <t>Laureati 2017</t>
  </si>
  <si>
    <t>Scienze geologiche</t>
  </si>
  <si>
    <t>Biologia</t>
  </si>
  <si>
    <t>Strategie e Tecnologie della Comunicazione</t>
  </si>
  <si>
    <t>Tecniche di Radiologia medica, per Immagini e Radioterapia (Abilitante alla Professione sanitaria di Tecnico di Radiologia medica)</t>
  </si>
  <si>
    <t xml:space="preserve">Applied Mathematics-Matematica applicata </t>
  </si>
  <si>
    <t>Relazione annuale 2020 dei Nuclei di Valutazione interna (D. Lgs. 19/2012, art. 12 e art. 14)</t>
  </si>
  <si>
    <t xml:space="preserve">Tabella 1: Profilo laureati anno solare 2018 per tipologia di laurea </t>
  </si>
  <si>
    <t>Tabella 2: Andamento laureati anno solare 2018 per tipologia di laurea</t>
  </si>
  <si>
    <t>Tab 3: Tasso di risposta al questionario Profilo Laureati 2018 AlmaLaurea e percentuali di giudizi positivi (decisamente sì + più sì che no) ad alcuni quesiti confrontati con valore nazionale per tipologia di CdS</t>
  </si>
  <si>
    <t>Tabella 5: Adesione a programmi di mobilità internazionale laureati triennio 2016 - 2018 per tipologia di laurea</t>
  </si>
  <si>
    <t>Laureati 2018</t>
  </si>
  <si>
    <t>Tabella 6: Percentuali di giudizi positivi (decisamente sì + più sì che no) ad alcuni quesiti laureati triennio 2016-2018 per Dipartimento</t>
  </si>
  <si>
    <t xml:space="preserve">Tabella 7: Tasso di risposta al questionario Profilo Laureati AlmaLaurea laureati 2018 e percentuali di giudizi positivi (decisamente sì + più sì che no) ad alcuni quesiti per Corso di Studio, confrontati con il valore nazionale della classe </t>
  </si>
  <si>
    <t>Numero laureati 2018</t>
  </si>
  <si>
    <t>Tabella 8: Valutazione delle strutture dell'Ateneo e confronto con valore nazionale laureati triennio 2016-2018</t>
  </si>
  <si>
    <t>3,5</t>
  </si>
  <si>
    <t>3,1</t>
  </si>
  <si>
    <t>2,4</t>
  </si>
  <si>
    <t>4,9</t>
  </si>
  <si>
    <t>102,9</t>
  </si>
  <si>
    <t>100,0</t>
  </si>
  <si>
    <t>104,8</t>
  </si>
  <si>
    <t>107,9</t>
  </si>
  <si>
    <t>53,6</t>
  </si>
  <si>
    <t>53,9</t>
  </si>
  <si>
    <t>40,0</t>
  </si>
  <si>
    <t>60,1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</si>
  <si>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</si>
  <si>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</si>
  <si>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</si>
  <si>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</si>
  <si>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</si>
  <si>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</si>
  <si>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</si>
  <si>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</si>
  <si>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</si>
  <si>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</si>
  <si>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</si>
  <si>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</si>
  <si>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</si>
  <si>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che il carico di studio degli insegnamenti sia stato sostenibile (%)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</si>
  <si>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</si>
  <si>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</si>
  <si>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</si>
  <si>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</si>
  <si>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Quasi mai</t>
  </si>
  <si>
    <t>Tabella 9: Valutazione dell'organizzazione degli esami per Dipartimento laureati Unisi triennio 2016-2018</t>
  </si>
  <si>
    <t>Fisica e Tecnologie avanzate</t>
  </si>
  <si>
    <t>Geoscienze e Geologia applicata</t>
  </si>
  <si>
    <t>LM-81</t>
  </si>
  <si>
    <t>Pubblic and cultural Diplomacy - Diplomazia pubblica e culturale*</t>
  </si>
  <si>
    <t>n.d.</t>
  </si>
  <si>
    <t>Scienze delle Amministrazioni</t>
  </si>
  <si>
    <t>LM-84</t>
  </si>
  <si>
    <t xml:space="preserve">LM-78 </t>
  </si>
  <si>
    <t>Storia e Filosofia (interclasse)</t>
  </si>
  <si>
    <t>Fonti: AlmaLaurea e Cruscotto dati Ateneo QLIK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</si>
</sst>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259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1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5" xfId="0" applyNumberFormat="1" applyBorder="1"/>
    <xf numFmtId="0" fontId="0" fillId="0" borderId="7" xfId="0" applyBorder="1"/>
    <xf numFmtId="164" fontId="0" fillId="0" borderId="12" xfId="0" applyNumberFormat="1" applyBorder="1"/>
    <xf numFmtId="0" fontId="0" fillId="0" borderId="15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0" fillId="0" borderId="14" xfId="0" applyBorder="1"/>
    <xf numFmtId="164" fontId="1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/>
    <xf numFmtId="164" fontId="4" fillId="0" borderId="8" xfId="0" applyNumberFormat="1" applyFont="1" applyBorder="1" applyAlignment="1"/>
    <xf numFmtId="164" fontId="4" fillId="0" borderId="10" xfId="0" applyNumberFormat="1" applyFont="1" applyBorder="1" applyAlignment="1"/>
    <xf numFmtId="164" fontId="1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ont="1" applyBorder="1"/>
    <xf numFmtId="0" fontId="0" fillId="0" borderId="6" xfId="0" applyFon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/>
    <xf numFmtId="0" fontId="0" fillId="0" borderId="4" xfId="0" applyFill="1" applyBorder="1"/>
    <xf numFmtId="0" fontId="10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0" xfId="0" applyFont="1" applyFill="1" applyBorder="1" applyAlignment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3" fontId="1" fillId="0" borderId="10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4" fillId="0" borderId="10" xfId="0" applyFont="1" applyFill="1" applyBorder="1" applyAlignment="1"/>
    <xf numFmtId="0" fontId="0" fillId="0" borderId="11" xfId="0" applyFill="1" applyBorder="1"/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wrapText="1"/>
    </xf>
    <xf numFmtId="0" fontId="0" fillId="0" borderId="0" xfId="0" applyFill="1" applyBorder="1"/>
    <xf numFmtId="0" fontId="0" fillId="0" borderId="7" xfId="0" applyFill="1" applyBorder="1"/>
    <xf numFmtId="0" fontId="11" fillId="0" borderId="7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/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164" fontId="12" fillId="0" borderId="0" xfId="0" applyNumberFormat="1" applyFont="1" applyFill="1" applyBorder="1" applyAlignment="1"/>
    <xf numFmtId="0" fontId="12" fillId="0" borderId="7" xfId="0" applyFont="1" applyFill="1" applyBorder="1" applyAlignment="1"/>
    <xf numFmtId="164" fontId="0" fillId="0" borderId="6" xfId="0" applyNumberFormat="1" applyBorder="1"/>
    <xf numFmtId="164" fontId="0" fillId="0" borderId="7" xfId="0" applyNumberFormat="1" applyBorder="1"/>
    <xf numFmtId="164" fontId="0" fillId="0" borderId="15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4" xfId="0" applyFill="1" applyBorder="1" applyAlignment="1">
      <alignment wrapText="1"/>
    </xf>
    <xf numFmtId="164" fontId="0" fillId="0" borderId="13" xfId="0" applyNumberFormat="1" applyFont="1" applyBorder="1"/>
    <xf numFmtId="164" fontId="0" fillId="0" borderId="6" xfId="0" applyNumberFormat="1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  <xf numFmtId="164" fontId="0" fillId="0" borderId="11" xfId="0" applyNumberFormat="1" applyFont="1" applyBorder="1"/>
    <xf numFmtId="0" fontId="0" fillId="0" borderId="5" xfId="0" applyFont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0" fillId="0" borderId="12" xfId="0" applyFill="1" applyBorder="1" applyAlignment="1">
      <alignment horizontal="right"/>
    </xf>
    <xf numFmtId="3" fontId="0" fillId="0" borderId="12" xfId="0" applyNumberFormat="1" applyFill="1" applyBorder="1"/>
    <xf numFmtId="165" fontId="0" fillId="0" borderId="12" xfId="0" applyNumberFormat="1" applyFill="1" applyBorder="1" applyAlignment="1">
      <alignment horizontal="right"/>
    </xf>
    <xf numFmtId="0" fontId="0" fillId="0" borderId="12" xfId="0" applyFill="1" applyBorder="1"/>
    <xf numFmtId="164" fontId="0" fillId="0" borderId="12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horizontal="right"/>
    </xf>
    <xf numFmtId="164" fontId="0" fillId="0" borderId="12" xfId="0" applyNumberFormat="1" applyFill="1" applyBorder="1"/>
    <xf numFmtId="0" fontId="0" fillId="0" borderId="7" xfId="0" applyFill="1" applyBorder="1" applyAlignment="1">
      <alignment vertical="center"/>
    </xf>
    <xf numFmtId="0" fontId="0" fillId="0" borderId="14" xfId="0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64" fontId="0" fillId="0" borderId="7" xfId="0" applyNumberFormat="1" applyFill="1" applyBorder="1"/>
    <xf numFmtId="0" fontId="1" fillId="0" borderId="10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1" fillId="0" borderId="9" xfId="0" applyNumberFormat="1" applyFont="1" applyBorder="1" applyAlignment="1">
      <alignment horizontal="right"/>
    </xf>
    <xf numFmtId="0" fontId="0" fillId="0" borderId="0" xfId="0" applyNumberFormat="1"/>
    <xf numFmtId="0" fontId="0" fillId="0" borderId="14" xfId="0" applyNumberFormat="1" applyBorder="1"/>
    <xf numFmtId="0" fontId="0" fillId="0" borderId="0" xfId="0" applyNumberFormat="1" applyBorder="1"/>
    <xf numFmtId="0" fontId="0" fillId="0" borderId="12" xfId="0" applyNumberFormat="1" applyBorder="1"/>
    <xf numFmtId="0" fontId="4" fillId="0" borderId="2" xfId="0" applyFont="1" applyBorder="1" applyAlignment="1">
      <alignment vertical="center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NumberFormat="1" applyFill="1" applyBorder="1"/>
    <xf numFmtId="0" fontId="0" fillId="0" borderId="6" xfId="0" applyNumberFormat="1" applyFill="1" applyBorder="1"/>
    <xf numFmtId="0" fontId="0" fillId="0" borderId="7" xfId="0" applyNumberFormat="1" applyFill="1" applyBorder="1"/>
    <xf numFmtId="0" fontId="0" fillId="0" borderId="15" xfId="0" applyNumberFormat="1" applyFill="1" applyBorder="1"/>
    <xf numFmtId="164" fontId="1" fillId="0" borderId="8" xfId="0" applyNumberFormat="1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4" fillId="0" borderId="9" xfId="0" applyNumberFormat="1" applyFont="1" applyFill="1" applyBorder="1" applyAlignment="1"/>
    <xf numFmtId="0" fontId="0" fillId="0" borderId="0" xfId="0" applyFill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12" fillId="0" borderId="6" xfId="0" applyNumberFormat="1" applyFont="1" applyFill="1" applyBorder="1" applyAlignment="1"/>
    <xf numFmtId="0" fontId="12" fillId="0" borderId="15" xfId="0" applyFont="1" applyFill="1" applyBorder="1" applyAlignment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4" fillId="0" borderId="8" xfId="0" applyNumberFormat="1" applyFont="1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  <xf numFmtId="164" fontId="4" fillId="0" borderId="12" xfId="0" applyNumberFormat="1" applyFont="1" applyBorder="1"/>
    <xf numFmtId="164" fontId="4" fillId="0" borderId="15" xfId="0" applyNumberFormat="1" applyFont="1" applyBorder="1"/>
    <xf numFmtId="164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1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4" xfId="0" applyFill="1" applyBorder="1"/>
    <xf numFmtId="0" fontId="0" fillId="0" borderId="12" xfId="0" applyFill="1" applyBorder="1" applyAlignment="1"/>
    <xf numFmtId="165" fontId="0" fillId="0" borderId="12" xfId="0" applyNumberFormat="1" applyFill="1" applyBorder="1"/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>
      <selection activeCell="E30" sqref="E30"/>
    </sheetView>
  </sheetViews>
  <sheetFormatPr defaultRowHeight="15" x14ac:dyDescent="0.25"/>
  <sheetData>
    <row r="1" spans="1:14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21" x14ac:dyDescent="0.25">
      <c r="A7" s="82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15.75" x14ac:dyDescent="0.25">
      <c r="A8" s="8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ht="23.25" x14ac:dyDescent="0.25">
      <c r="A9" s="81"/>
      <c r="B9" s="193" t="s">
        <v>50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81"/>
    </row>
    <row r="10" spans="1:14" ht="21" x14ac:dyDescent="0.25">
      <c r="A10" s="81"/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1"/>
      <c r="N10" s="81"/>
    </row>
    <row r="11" spans="1:14" ht="18.75" x14ac:dyDescent="0.25">
      <c r="A11" s="81"/>
      <c r="B11" s="194" t="s">
        <v>162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81"/>
    </row>
    <row r="12" spans="1:14" ht="15.75" x14ac:dyDescent="0.25">
      <c r="A12" s="81"/>
      <c r="B12" s="81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1"/>
      <c r="N12" s="81"/>
    </row>
    <row r="13" spans="1:14" ht="15.75" x14ac:dyDescent="0.25">
      <c r="A13" s="81"/>
      <c r="B13" s="81"/>
      <c r="C13" s="195" t="s">
        <v>49</v>
      </c>
      <c r="D13" s="195"/>
      <c r="E13" s="195"/>
      <c r="F13" s="195"/>
      <c r="G13" s="195"/>
      <c r="H13" s="195"/>
      <c r="I13" s="195"/>
      <c r="J13" s="195"/>
      <c r="K13" s="195"/>
      <c r="L13" s="195"/>
      <c r="M13" s="81"/>
      <c r="N13" s="81"/>
    </row>
    <row r="14" spans="1:14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4" x14ac:dyDescent="0.25">
      <c r="A16" s="84"/>
      <c r="B16" s="84"/>
      <c r="C16" s="84"/>
      <c r="D16" s="84"/>
      <c r="E16" s="84"/>
      <c r="F16" s="81"/>
      <c r="G16" s="81"/>
      <c r="H16" s="81"/>
      <c r="I16" s="81"/>
      <c r="J16" s="81"/>
      <c r="K16" s="81"/>
      <c r="L16" s="81"/>
      <c r="M16" s="81"/>
      <c r="N16" s="81"/>
    </row>
    <row r="17" spans="1:14" x14ac:dyDescent="0.25">
      <c r="A17" s="84"/>
      <c r="B17" s="84"/>
      <c r="C17" s="84"/>
      <c r="D17" s="84"/>
      <c r="E17" s="84"/>
      <c r="F17" s="81"/>
      <c r="G17" s="81"/>
      <c r="H17" s="81"/>
      <c r="I17" s="81"/>
      <c r="J17" s="81"/>
      <c r="K17" s="81"/>
      <c r="L17" s="81"/>
      <c r="M17" s="81"/>
      <c r="N17" s="81"/>
    </row>
    <row r="18" spans="1:14" x14ac:dyDescent="0.25">
      <c r="A18" s="84"/>
      <c r="B18" s="84"/>
      <c r="C18" s="84"/>
      <c r="D18" s="84"/>
      <c r="E18" s="84"/>
      <c r="F18" s="81"/>
      <c r="G18" s="81"/>
      <c r="H18" s="81"/>
      <c r="I18" s="81"/>
      <c r="J18" s="81"/>
      <c r="K18" s="81"/>
      <c r="L18" s="81"/>
      <c r="M18" s="81"/>
      <c r="N18" s="81"/>
    </row>
    <row r="19" spans="1:14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4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4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</row>
    <row r="29" spans="1:14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</row>
    <row r="30" spans="1:14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1:14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</sheetData>
  <mergeCells count="3">
    <mergeCell ref="B9:M9"/>
    <mergeCell ref="B11:M11"/>
    <mergeCell ref="C13:L1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topLeftCell="A55" zoomScaleNormal="100" workbookViewId="0">
      <selection activeCell="A64" sqref="A64:F64"/>
    </sheetView>
  </sheetViews>
  <sheetFormatPr defaultRowHeight="15" x14ac:dyDescent="0.25"/>
  <cols>
    <col min="1" max="1" width="16.7109375" customWidth="1"/>
    <col min="7" max="7" width="9.85546875" bestFit="1" customWidth="1"/>
    <col min="8" max="8" width="14.140625" customWidth="1"/>
    <col min="9" max="9" width="9.85546875" bestFit="1" customWidth="1"/>
    <col min="13" max="13" width="10.85546875" customWidth="1"/>
    <col min="19" max="19" width="10" customWidth="1"/>
  </cols>
  <sheetData>
    <row r="1" spans="1:9" x14ac:dyDescent="0.25">
      <c r="A1" s="196" t="s">
        <v>163</v>
      </c>
      <c r="B1" s="196"/>
      <c r="C1" s="196"/>
      <c r="D1" s="196"/>
      <c r="E1" s="196"/>
      <c r="F1" s="196"/>
    </row>
    <row r="2" spans="1:9" s="1" customFormat="1" ht="15" customHeight="1" x14ac:dyDescent="0.25">
      <c r="A2" s="219" t="s">
        <v>0</v>
      </c>
      <c r="B2" s="222" t="s">
        <v>1</v>
      </c>
      <c r="C2" s="222"/>
      <c r="D2" s="222" t="s">
        <v>2</v>
      </c>
      <c r="E2" s="222"/>
      <c r="F2" s="224" t="s">
        <v>7</v>
      </c>
      <c r="G2" s="224"/>
      <c r="H2" s="222" t="s">
        <v>3</v>
      </c>
      <c r="I2" s="227"/>
    </row>
    <row r="3" spans="1:9" s="1" customFormat="1" ht="15" customHeight="1" x14ac:dyDescent="0.25">
      <c r="A3" s="220"/>
      <c r="B3" s="223"/>
      <c r="C3" s="223"/>
      <c r="D3" s="223"/>
      <c r="E3" s="223"/>
      <c r="F3" s="233"/>
      <c r="G3" s="233"/>
      <c r="H3" s="223"/>
      <c r="I3" s="228"/>
    </row>
    <row r="4" spans="1:9" s="1" customFormat="1" x14ac:dyDescent="0.25">
      <c r="A4" s="221"/>
      <c r="B4" s="2" t="s">
        <v>4</v>
      </c>
      <c r="C4" s="4" t="s">
        <v>5</v>
      </c>
      <c r="D4" s="4" t="s">
        <v>4</v>
      </c>
      <c r="E4" s="4" t="s">
        <v>5</v>
      </c>
      <c r="F4" s="4" t="s">
        <v>4</v>
      </c>
      <c r="G4" s="4" t="s">
        <v>5</v>
      </c>
      <c r="H4" s="4" t="s">
        <v>4</v>
      </c>
      <c r="I4" s="3" t="s">
        <v>5</v>
      </c>
    </row>
    <row r="5" spans="1:9" s="1" customFormat="1" ht="30" x14ac:dyDescent="0.25">
      <c r="A5" s="17" t="s">
        <v>13</v>
      </c>
      <c r="B5" s="6">
        <v>1486</v>
      </c>
      <c r="C5" s="7">
        <v>159880</v>
      </c>
      <c r="D5" s="10">
        <v>60.5</v>
      </c>
      <c r="E5" s="144">
        <v>58.6</v>
      </c>
      <c r="F5" s="10">
        <v>44.3</v>
      </c>
      <c r="G5" s="144">
        <v>19.8</v>
      </c>
      <c r="H5" s="10">
        <v>3.8</v>
      </c>
      <c r="I5" s="146" t="s">
        <v>173</v>
      </c>
    </row>
    <row r="6" spans="1:9" s="1" customFormat="1" ht="45" x14ac:dyDescent="0.25">
      <c r="A6" s="18" t="s">
        <v>14</v>
      </c>
      <c r="B6" s="6">
        <v>867</v>
      </c>
      <c r="C6" s="7">
        <v>81964</v>
      </c>
      <c r="D6" s="11">
        <v>57.4</v>
      </c>
      <c r="E6" s="145">
        <v>56.3</v>
      </c>
      <c r="F6" s="11">
        <v>55.5</v>
      </c>
      <c r="G6" s="145">
        <v>29.5</v>
      </c>
      <c r="H6" s="11">
        <v>8.6999999999999993</v>
      </c>
      <c r="I6" s="147" t="s">
        <v>175</v>
      </c>
    </row>
    <row r="7" spans="1:9" s="1" customFormat="1" ht="45" x14ac:dyDescent="0.25">
      <c r="A7" s="18" t="s">
        <v>15</v>
      </c>
      <c r="B7" s="6">
        <v>569</v>
      </c>
      <c r="C7" s="7">
        <v>36694</v>
      </c>
      <c r="D7" s="11">
        <v>62.7</v>
      </c>
      <c r="E7" s="145">
        <v>64.5</v>
      </c>
      <c r="F7" s="11">
        <v>59.1</v>
      </c>
      <c r="G7" s="145">
        <v>20.5</v>
      </c>
      <c r="H7" s="11">
        <v>2.8</v>
      </c>
      <c r="I7" s="147" t="s">
        <v>174</v>
      </c>
    </row>
    <row r="8" spans="1:9" s="1" customFormat="1" x14ac:dyDescent="0.25">
      <c r="A8" s="5" t="s">
        <v>6</v>
      </c>
      <c r="B8" s="8">
        <v>2938</v>
      </c>
      <c r="C8" s="9">
        <v>280230</v>
      </c>
      <c r="D8" s="13">
        <v>60</v>
      </c>
      <c r="E8" s="143">
        <v>58.7</v>
      </c>
      <c r="F8" s="13">
        <v>50.4</v>
      </c>
      <c r="G8" s="143">
        <v>22.7</v>
      </c>
      <c r="H8" s="13">
        <v>5</v>
      </c>
      <c r="I8" s="148" t="s">
        <v>172</v>
      </c>
    </row>
    <row r="9" spans="1:9" s="1" customFormat="1" x14ac:dyDescent="0.25">
      <c r="A9" s="258" t="s">
        <v>213</v>
      </c>
      <c r="B9" s="258"/>
      <c r="C9" s="258"/>
      <c r="D9" s="258"/>
      <c r="E9" s="258"/>
      <c r="F9" s="258"/>
      <c r="G9" s="28"/>
      <c r="H9" s="28"/>
      <c r="I9" s="28"/>
    </row>
    <row r="11" spans="1:9" x14ac:dyDescent="0.25">
      <c r="A11" s="196" t="s">
        <v>164</v>
      </c>
      <c r="B11" s="196"/>
      <c r="C11" s="196"/>
      <c r="D11" s="196"/>
      <c r="E11" s="196"/>
      <c r="F11" s="196"/>
      <c r="G11" s="196"/>
    </row>
    <row r="12" spans="1:9" ht="34.5" customHeight="1" x14ac:dyDescent="0.25">
      <c r="A12" s="234" t="s">
        <v>0</v>
      </c>
      <c r="B12" s="224" t="s">
        <v>10</v>
      </c>
      <c r="C12" s="224"/>
      <c r="D12" s="224" t="s">
        <v>11</v>
      </c>
      <c r="E12" s="224"/>
      <c r="F12" s="224" t="s">
        <v>8</v>
      </c>
      <c r="G12" s="236"/>
    </row>
    <row r="13" spans="1:9" x14ac:dyDescent="0.25">
      <c r="A13" s="235"/>
      <c r="B13" s="2" t="s">
        <v>4</v>
      </c>
      <c r="C13" s="4" t="s">
        <v>5</v>
      </c>
      <c r="D13" s="4" t="s">
        <v>4</v>
      </c>
      <c r="E13" s="4" t="s">
        <v>5</v>
      </c>
      <c r="F13" s="4" t="s">
        <v>4</v>
      </c>
      <c r="G13" s="3" t="s">
        <v>5</v>
      </c>
    </row>
    <row r="14" spans="1:9" ht="30" x14ac:dyDescent="0.25">
      <c r="A14" s="17" t="s">
        <v>13</v>
      </c>
      <c r="B14" s="11">
        <v>24.9</v>
      </c>
      <c r="C14" s="145">
        <v>24.6</v>
      </c>
      <c r="D14" s="11">
        <v>101.3</v>
      </c>
      <c r="E14" s="11" t="s">
        <v>177</v>
      </c>
      <c r="F14" s="11">
        <v>55.2</v>
      </c>
      <c r="G14" s="12" t="s">
        <v>181</v>
      </c>
    </row>
    <row r="15" spans="1:9" ht="45" x14ac:dyDescent="0.25">
      <c r="A15" s="18" t="s">
        <v>14</v>
      </c>
      <c r="B15" s="15">
        <v>27.8</v>
      </c>
      <c r="C15" s="145">
        <v>27.3</v>
      </c>
      <c r="D15" s="15">
        <v>108.5</v>
      </c>
      <c r="E15" s="15" t="s">
        <v>179</v>
      </c>
      <c r="F15" s="15">
        <v>49.7</v>
      </c>
      <c r="G15" s="16" t="s">
        <v>183</v>
      </c>
    </row>
    <row r="16" spans="1:9" ht="45" x14ac:dyDescent="0.25">
      <c r="A16" s="18" t="s">
        <v>15</v>
      </c>
      <c r="B16" s="11">
        <v>26.9</v>
      </c>
      <c r="C16" s="145">
        <v>27</v>
      </c>
      <c r="D16" s="11">
        <v>103.5</v>
      </c>
      <c r="E16" s="11" t="s">
        <v>178</v>
      </c>
      <c r="F16" s="11">
        <v>35.5</v>
      </c>
      <c r="G16" s="12" t="s">
        <v>182</v>
      </c>
    </row>
    <row r="17" spans="1:14" x14ac:dyDescent="0.25">
      <c r="A17" s="5" t="s">
        <v>9</v>
      </c>
      <c r="B17" s="13">
        <v>26.2</v>
      </c>
      <c r="C17" s="143">
        <v>25.8</v>
      </c>
      <c r="D17" s="13">
        <v>103.9</v>
      </c>
      <c r="E17" s="13" t="s">
        <v>176</v>
      </c>
      <c r="F17" s="13">
        <v>49.5</v>
      </c>
      <c r="G17" s="14" t="s">
        <v>180</v>
      </c>
    </row>
    <row r="18" spans="1:14" ht="15" customHeight="1" x14ac:dyDescent="0.25">
      <c r="A18" s="258" t="s">
        <v>213</v>
      </c>
      <c r="B18" s="258"/>
      <c r="C18" s="258"/>
      <c r="D18" s="258"/>
      <c r="E18" s="258"/>
      <c r="F18" s="258"/>
    </row>
    <row r="20" spans="1:14" ht="30" customHeight="1" x14ac:dyDescent="0.25">
      <c r="A20" s="229" t="s">
        <v>165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1"/>
      <c r="M20" s="1"/>
    </row>
    <row r="21" spans="1:14" ht="90.75" customHeight="1" x14ac:dyDescent="0.25">
      <c r="A21" s="230" t="s">
        <v>12</v>
      </c>
      <c r="B21" s="232" t="s">
        <v>170</v>
      </c>
      <c r="C21" s="225"/>
      <c r="D21" s="224" t="s">
        <v>16</v>
      </c>
      <c r="E21" s="224"/>
      <c r="F21" s="224" t="s">
        <v>17</v>
      </c>
      <c r="G21" s="224"/>
      <c r="H21" s="224" t="s">
        <v>18</v>
      </c>
      <c r="I21" s="224"/>
      <c r="J21" s="224" t="s">
        <v>197</v>
      </c>
      <c r="K21" s="224"/>
      <c r="L21" s="239"/>
      <c r="M21" s="240"/>
    </row>
    <row r="22" spans="1:14" x14ac:dyDescent="0.25">
      <c r="A22" s="231"/>
      <c r="B22" s="2" t="s">
        <v>4</v>
      </c>
      <c r="C22" s="4" t="s">
        <v>5</v>
      </c>
      <c r="D22" s="4" t="s">
        <v>4</v>
      </c>
      <c r="E22" s="4" t="s">
        <v>5</v>
      </c>
      <c r="F22" s="4" t="s">
        <v>4</v>
      </c>
      <c r="G22" s="4" t="s">
        <v>5</v>
      </c>
      <c r="H22" s="4" t="s">
        <v>4</v>
      </c>
      <c r="I22" s="4" t="s">
        <v>5</v>
      </c>
      <c r="J22" s="4" t="s">
        <v>4</v>
      </c>
      <c r="K22" s="4" t="s">
        <v>5</v>
      </c>
      <c r="L22" s="169"/>
      <c r="M22" s="168"/>
    </row>
    <row r="23" spans="1:14" ht="30" x14ac:dyDescent="0.25">
      <c r="A23" s="63" t="s">
        <v>13</v>
      </c>
      <c r="B23" s="6">
        <v>1486</v>
      </c>
      <c r="C23" s="85">
        <v>159880</v>
      </c>
      <c r="D23" s="86">
        <v>97.4</v>
      </c>
      <c r="E23" s="86">
        <v>93.6</v>
      </c>
      <c r="F23" s="87">
        <v>91.7</v>
      </c>
      <c r="G23" s="88">
        <v>88.800000000000011</v>
      </c>
      <c r="H23" s="88">
        <v>89.4</v>
      </c>
      <c r="I23" s="88">
        <f>20.8+65.7</f>
        <v>86.5</v>
      </c>
      <c r="J23" s="89">
        <v>85.3</v>
      </c>
      <c r="K23" s="170">
        <f>28.4+53.9</f>
        <v>82.3</v>
      </c>
      <c r="L23" s="1"/>
      <c r="M23" s="1"/>
    </row>
    <row r="24" spans="1:14" ht="45" x14ac:dyDescent="0.25">
      <c r="A24" s="18" t="s">
        <v>14</v>
      </c>
      <c r="B24" s="6">
        <v>867</v>
      </c>
      <c r="C24" s="85">
        <v>81964</v>
      </c>
      <c r="D24" s="86">
        <v>94.5</v>
      </c>
      <c r="E24" s="86">
        <v>89.8</v>
      </c>
      <c r="F24" s="87">
        <v>90.6</v>
      </c>
      <c r="G24" s="88">
        <v>90.2</v>
      </c>
      <c r="H24" s="88">
        <v>90.8</v>
      </c>
      <c r="I24" s="88">
        <f>30.3+59.6</f>
        <v>89.9</v>
      </c>
      <c r="J24" s="154">
        <v>90.7</v>
      </c>
      <c r="K24" s="90">
        <f>39.8+47.8</f>
        <v>87.6</v>
      </c>
      <c r="L24" s="1"/>
      <c r="M24" s="1"/>
    </row>
    <row r="25" spans="1:14" ht="45" x14ac:dyDescent="0.25">
      <c r="A25" s="18" t="s">
        <v>15</v>
      </c>
      <c r="B25" s="6">
        <v>569</v>
      </c>
      <c r="C25" s="85">
        <v>36694</v>
      </c>
      <c r="D25" s="86">
        <v>98.4</v>
      </c>
      <c r="E25" s="86">
        <v>93.7</v>
      </c>
      <c r="F25" s="87">
        <v>90</v>
      </c>
      <c r="G25" s="88">
        <v>87.1</v>
      </c>
      <c r="H25" s="88">
        <v>79.099999999999994</v>
      </c>
      <c r="I25" s="88">
        <f>18.3+60.6</f>
        <v>78.900000000000006</v>
      </c>
      <c r="J25" s="154">
        <v>75.7</v>
      </c>
      <c r="K25" s="171">
        <f>23+48.8</f>
        <v>71.8</v>
      </c>
      <c r="L25" s="1"/>
      <c r="M25" s="1"/>
    </row>
    <row r="26" spans="1:14" x14ac:dyDescent="0.25">
      <c r="A26" s="5" t="s">
        <v>9</v>
      </c>
      <c r="B26" s="8">
        <v>2938</v>
      </c>
      <c r="C26" s="65">
        <v>280230</v>
      </c>
      <c r="D26" s="66">
        <v>96.7</v>
      </c>
      <c r="E26" s="66">
        <v>92.4</v>
      </c>
      <c r="F26" s="67">
        <v>91</v>
      </c>
      <c r="G26" s="68">
        <f>38.4+50.5</f>
        <v>88.9</v>
      </c>
      <c r="H26" s="68">
        <v>87.7</v>
      </c>
      <c r="I26" s="68">
        <f>23.2+63.2</f>
        <v>86.4</v>
      </c>
      <c r="J26" s="68">
        <v>84.9</v>
      </c>
      <c r="K26" s="80">
        <f>31.3+51.4</f>
        <v>82.7</v>
      </c>
      <c r="L26" s="1"/>
      <c r="M26" s="1"/>
    </row>
    <row r="27" spans="1:14" ht="15" customHeight="1" x14ac:dyDescent="0.25">
      <c r="A27" s="258" t="s">
        <v>213</v>
      </c>
      <c r="B27" s="258"/>
      <c r="C27" s="258"/>
      <c r="D27" s="258"/>
      <c r="E27" s="258"/>
      <c r="F27" s="258"/>
      <c r="G27" s="136"/>
      <c r="H27" s="136"/>
      <c r="I27" s="136"/>
      <c r="J27" s="135"/>
      <c r="K27" s="135"/>
    </row>
    <row r="28" spans="1:14" x14ac:dyDescent="0.25">
      <c r="A28" s="140"/>
      <c r="B28" s="137"/>
      <c r="C28" s="137"/>
      <c r="D28" s="138"/>
      <c r="E28" s="138"/>
      <c r="F28" s="139"/>
      <c r="G28" s="135"/>
      <c r="H28" s="135"/>
      <c r="I28" s="135"/>
      <c r="J28" s="135"/>
      <c r="K28" s="135"/>
    </row>
    <row r="29" spans="1:14" ht="27" customHeight="1" x14ac:dyDescent="0.25">
      <c r="A29" s="204" t="s">
        <v>27</v>
      </c>
      <c r="B29" s="205"/>
      <c r="C29" s="205"/>
      <c r="D29" s="205"/>
      <c r="E29" s="205"/>
      <c r="F29" s="205"/>
      <c r="G29" s="205"/>
      <c r="H29" s="205"/>
      <c r="I29" s="205"/>
    </row>
    <row r="30" spans="1:14" ht="15" customHeight="1" x14ac:dyDescent="0.25">
      <c r="A30" s="206" t="s">
        <v>12</v>
      </c>
      <c r="B30" s="207" t="s">
        <v>21</v>
      </c>
      <c r="C30" s="208"/>
      <c r="D30" s="214" t="s">
        <v>4</v>
      </c>
      <c r="E30" s="215"/>
      <c r="F30" s="216"/>
      <c r="G30" s="215" t="s">
        <v>5</v>
      </c>
      <c r="H30" s="215"/>
      <c r="I30" s="216"/>
      <c r="J30" s="33"/>
      <c r="K30" s="155"/>
      <c r="L30" s="1"/>
      <c r="M30" s="1"/>
      <c r="N30" s="1"/>
    </row>
    <row r="31" spans="1:14" ht="29.25" customHeight="1" x14ac:dyDescent="0.25">
      <c r="A31" s="206"/>
      <c r="B31" s="209"/>
      <c r="C31" s="210"/>
      <c r="D31" s="4">
        <v>2018</v>
      </c>
      <c r="E31" s="4">
        <v>2017</v>
      </c>
      <c r="F31" s="3">
        <v>2016</v>
      </c>
      <c r="G31" s="4">
        <v>2018</v>
      </c>
      <c r="H31" s="4">
        <v>2017</v>
      </c>
      <c r="I31" s="4">
        <v>2016</v>
      </c>
      <c r="J31" s="34"/>
      <c r="K31" s="1"/>
      <c r="L31" s="1"/>
      <c r="M31" s="1"/>
      <c r="N31" s="1"/>
    </row>
    <row r="32" spans="1:14" ht="27.75" customHeight="1" x14ac:dyDescent="0.25">
      <c r="A32" s="203" t="s">
        <v>13</v>
      </c>
      <c r="B32" s="201" t="s">
        <v>22</v>
      </c>
      <c r="C32" s="202"/>
      <c r="D32">
        <v>74.5</v>
      </c>
      <c r="E32" s="21">
        <v>72.900000000000006</v>
      </c>
      <c r="F32" s="24">
        <v>72.099999999999994</v>
      </c>
      <c r="G32" s="149">
        <v>68.400000000000006</v>
      </c>
      <c r="H32" s="23">
        <v>67.099999999999994</v>
      </c>
      <c r="I32" s="91">
        <v>66</v>
      </c>
    </row>
    <row r="33" spans="1:10" ht="27.75" customHeight="1" x14ac:dyDescent="0.25">
      <c r="A33" s="203"/>
      <c r="B33" s="197" t="s">
        <v>23</v>
      </c>
      <c r="C33" s="198"/>
      <c r="D33">
        <v>7.4</v>
      </c>
      <c r="E33" s="21">
        <v>7.6</v>
      </c>
      <c r="F33" s="24">
        <v>7.7</v>
      </c>
      <c r="G33" s="149">
        <v>10.8</v>
      </c>
      <c r="H33" s="21">
        <v>10.7</v>
      </c>
      <c r="I33" s="92">
        <v>11</v>
      </c>
    </row>
    <row r="34" spans="1:10" ht="41.25" customHeight="1" x14ac:dyDescent="0.25">
      <c r="A34" s="203"/>
      <c r="B34" s="197" t="s">
        <v>24</v>
      </c>
      <c r="C34" s="198"/>
      <c r="D34">
        <v>10.9</v>
      </c>
      <c r="E34" s="22">
        <v>10.7</v>
      </c>
      <c r="F34" s="24">
        <v>11.6</v>
      </c>
      <c r="G34" s="149">
        <v>12</v>
      </c>
      <c r="H34" s="21">
        <v>12.8</v>
      </c>
      <c r="I34" s="92">
        <v>13.2</v>
      </c>
    </row>
    <row r="35" spans="1:10" ht="43.5" customHeight="1" x14ac:dyDescent="0.25">
      <c r="A35" s="203"/>
      <c r="B35" s="197" t="s">
        <v>25</v>
      </c>
      <c r="C35" s="198"/>
      <c r="D35">
        <v>5.9</v>
      </c>
      <c r="E35" s="22">
        <v>7</v>
      </c>
      <c r="F35" s="24">
        <v>6.5</v>
      </c>
      <c r="G35" s="149">
        <v>6.5</v>
      </c>
      <c r="H35" s="21">
        <v>6.7</v>
      </c>
      <c r="I35" s="92">
        <v>7</v>
      </c>
    </row>
    <row r="36" spans="1:10" ht="45" customHeight="1" x14ac:dyDescent="0.25">
      <c r="A36" s="203"/>
      <c r="B36" s="199" t="s">
        <v>26</v>
      </c>
      <c r="C36" s="200"/>
      <c r="D36">
        <v>1.3</v>
      </c>
      <c r="E36" s="25">
        <v>1.3</v>
      </c>
      <c r="F36" s="26">
        <v>1.8</v>
      </c>
      <c r="G36" s="150">
        <v>2</v>
      </c>
      <c r="H36" s="25">
        <v>2.2999999999999998</v>
      </c>
      <c r="I36" s="93">
        <v>2.5</v>
      </c>
    </row>
    <row r="37" spans="1:10" ht="33" customHeight="1" x14ac:dyDescent="0.25">
      <c r="A37" s="203" t="s">
        <v>14</v>
      </c>
      <c r="B37" s="201" t="s">
        <v>22</v>
      </c>
      <c r="C37" s="202"/>
      <c r="D37" s="36">
        <v>72.400000000000006</v>
      </c>
      <c r="E37" s="21">
        <v>71.400000000000006</v>
      </c>
      <c r="F37" s="142">
        <v>69.400000000000006</v>
      </c>
      <c r="G37" s="151">
        <v>74.8</v>
      </c>
      <c r="H37" s="23">
        <v>74.2</v>
      </c>
      <c r="I37" s="92">
        <v>73.8</v>
      </c>
    </row>
    <row r="38" spans="1:10" ht="32.25" customHeight="1" x14ac:dyDescent="0.25">
      <c r="A38" s="203"/>
      <c r="B38" s="197" t="s">
        <v>23</v>
      </c>
      <c r="C38" s="198"/>
      <c r="D38" s="69">
        <v>7.1</v>
      </c>
      <c r="E38" s="21">
        <v>8.5</v>
      </c>
      <c r="F38" s="142">
        <v>6.7</v>
      </c>
      <c r="G38" s="151">
        <v>6.8</v>
      </c>
      <c r="H38" s="21">
        <v>6.5</v>
      </c>
      <c r="I38" s="92">
        <v>6.4</v>
      </c>
    </row>
    <row r="39" spans="1:10" ht="45" customHeight="1" x14ac:dyDescent="0.25">
      <c r="A39" s="203"/>
      <c r="B39" s="197" t="s">
        <v>24</v>
      </c>
      <c r="C39" s="198"/>
      <c r="D39" s="69">
        <v>9.8000000000000007</v>
      </c>
      <c r="E39" s="21">
        <v>10.6</v>
      </c>
      <c r="F39" s="142">
        <v>12.2</v>
      </c>
      <c r="G39" s="151">
        <v>9.5</v>
      </c>
      <c r="H39" s="21">
        <v>10</v>
      </c>
      <c r="I39" s="92">
        <v>10.1</v>
      </c>
    </row>
    <row r="40" spans="1:10" ht="45" customHeight="1" x14ac:dyDescent="0.25">
      <c r="A40" s="203"/>
      <c r="B40" s="197" t="s">
        <v>25</v>
      </c>
      <c r="C40" s="198"/>
      <c r="D40" s="69">
        <v>7.2</v>
      </c>
      <c r="E40" s="21">
        <v>7.3</v>
      </c>
      <c r="F40" s="142">
        <v>6.8</v>
      </c>
      <c r="G40" s="151">
        <v>5.0999999999999996</v>
      </c>
      <c r="H40" s="21">
        <v>5.0999999999999996</v>
      </c>
      <c r="I40" s="92">
        <v>5.2</v>
      </c>
    </row>
    <row r="41" spans="1:10" ht="45" customHeight="1" x14ac:dyDescent="0.25">
      <c r="A41" s="203"/>
      <c r="B41" s="199" t="s">
        <v>26</v>
      </c>
      <c r="C41" s="200"/>
      <c r="D41" s="190">
        <v>3.5</v>
      </c>
      <c r="E41" s="25">
        <v>2.1</v>
      </c>
      <c r="F41" s="93">
        <v>4.4000000000000004</v>
      </c>
      <c r="G41" s="152">
        <v>3.5</v>
      </c>
      <c r="H41" s="25">
        <v>3.9</v>
      </c>
      <c r="I41" s="93">
        <v>4.0999999999999996</v>
      </c>
    </row>
    <row r="42" spans="1:10" ht="35.25" customHeight="1" x14ac:dyDescent="0.25">
      <c r="A42" s="206" t="s">
        <v>12</v>
      </c>
      <c r="B42" s="207" t="s">
        <v>21</v>
      </c>
      <c r="C42" s="208"/>
      <c r="D42" s="214" t="s">
        <v>4</v>
      </c>
      <c r="E42" s="215"/>
      <c r="F42" s="216"/>
      <c r="G42" s="215" t="s">
        <v>5</v>
      </c>
      <c r="H42" s="215"/>
      <c r="I42" s="216"/>
    </row>
    <row r="43" spans="1:10" ht="33.75" customHeight="1" x14ac:dyDescent="0.25">
      <c r="A43" s="206"/>
      <c r="B43" s="209"/>
      <c r="C43" s="210"/>
      <c r="D43" s="4">
        <v>2018</v>
      </c>
      <c r="E43" s="4">
        <v>2017</v>
      </c>
      <c r="F43" s="3">
        <v>2016</v>
      </c>
      <c r="G43" s="4">
        <v>2018</v>
      </c>
      <c r="H43" s="4">
        <v>2017</v>
      </c>
      <c r="I43" s="4">
        <v>2016</v>
      </c>
      <c r="J43" s="34"/>
    </row>
    <row r="44" spans="1:10" ht="30" customHeight="1" x14ac:dyDescent="0.25">
      <c r="A44" s="203" t="s">
        <v>15</v>
      </c>
      <c r="B44" s="201" t="s">
        <v>22</v>
      </c>
      <c r="C44" s="202"/>
      <c r="D44" s="21">
        <v>70.5</v>
      </c>
      <c r="E44" s="21">
        <v>71.8</v>
      </c>
      <c r="F44" s="92">
        <v>75.400000000000006</v>
      </c>
      <c r="G44" s="151">
        <v>66.5</v>
      </c>
      <c r="H44" s="23">
        <v>66.3</v>
      </c>
      <c r="I44" s="91">
        <v>64.599999999999994</v>
      </c>
    </row>
    <row r="45" spans="1:10" ht="27.75" customHeight="1" x14ac:dyDescent="0.25">
      <c r="A45" s="203"/>
      <c r="B45" s="197" t="s">
        <v>23</v>
      </c>
      <c r="C45" s="198"/>
      <c r="D45" s="21">
        <v>7</v>
      </c>
      <c r="E45" s="21">
        <v>7.2</v>
      </c>
      <c r="F45" s="92">
        <v>7.3</v>
      </c>
      <c r="G45" s="151">
        <v>7.7</v>
      </c>
      <c r="H45" s="21">
        <v>7.5</v>
      </c>
      <c r="I45" s="92">
        <v>7.8</v>
      </c>
    </row>
    <row r="46" spans="1:10" ht="45" customHeight="1" x14ac:dyDescent="0.25">
      <c r="A46" s="203"/>
      <c r="B46" s="197" t="s">
        <v>24</v>
      </c>
      <c r="C46" s="198"/>
      <c r="D46" s="21">
        <v>14.1</v>
      </c>
      <c r="E46" s="21">
        <v>14.6</v>
      </c>
      <c r="F46" s="92">
        <v>11.3</v>
      </c>
      <c r="G46" s="151">
        <v>17.8</v>
      </c>
      <c r="H46" s="21">
        <v>17.899999999999999</v>
      </c>
      <c r="I46" s="92">
        <v>18.899999999999999</v>
      </c>
    </row>
    <row r="47" spans="1:10" ht="46.5" customHeight="1" x14ac:dyDescent="0.25">
      <c r="A47" s="203"/>
      <c r="B47" s="197" t="s">
        <v>25</v>
      </c>
      <c r="C47" s="198"/>
      <c r="D47" s="21">
        <v>7</v>
      </c>
      <c r="E47" s="21">
        <v>5.3</v>
      </c>
      <c r="F47" s="92">
        <v>4.7</v>
      </c>
      <c r="G47" s="151">
        <v>5.6</v>
      </c>
      <c r="H47" s="21">
        <v>5.8</v>
      </c>
      <c r="I47" s="92">
        <v>6.1</v>
      </c>
    </row>
    <row r="48" spans="1:10" ht="42" customHeight="1" x14ac:dyDescent="0.25">
      <c r="A48" s="203"/>
      <c r="B48" s="199" t="s">
        <v>26</v>
      </c>
      <c r="C48" s="200"/>
      <c r="D48" s="25">
        <v>1.4</v>
      </c>
      <c r="E48" s="25">
        <v>0.6</v>
      </c>
      <c r="F48" s="93">
        <v>1.3</v>
      </c>
      <c r="G48" s="152">
        <v>2</v>
      </c>
      <c r="H48" s="25">
        <v>2.1</v>
      </c>
      <c r="I48" s="93">
        <v>2.2999999999999998</v>
      </c>
    </row>
    <row r="49" spans="1:19" ht="30" customHeight="1" x14ac:dyDescent="0.25">
      <c r="A49" s="218" t="s">
        <v>9</v>
      </c>
      <c r="B49" s="201" t="s">
        <v>22</v>
      </c>
      <c r="C49" s="202"/>
      <c r="D49" s="21">
        <v>73</v>
      </c>
      <c r="E49" s="22">
        <v>72.3</v>
      </c>
      <c r="F49" s="92">
        <v>72.099999999999994</v>
      </c>
      <c r="G49" s="21">
        <v>70</v>
      </c>
      <c r="H49" s="23">
        <v>69.099999999999994</v>
      </c>
      <c r="I49" s="92">
        <v>68.099999999999994</v>
      </c>
    </row>
    <row r="50" spans="1:19" ht="33" customHeight="1" x14ac:dyDescent="0.25">
      <c r="A50" s="218"/>
      <c r="B50" s="197" t="s">
        <v>23</v>
      </c>
      <c r="C50" s="198"/>
      <c r="D50" s="21">
        <v>7.2</v>
      </c>
      <c r="E50" s="22">
        <v>7.9</v>
      </c>
      <c r="F50" s="92">
        <v>7.4</v>
      </c>
      <c r="G50" s="151">
        <v>9.3000000000000007</v>
      </c>
      <c r="H50" s="21">
        <v>9.1</v>
      </c>
      <c r="I50" s="92">
        <v>9.3000000000000007</v>
      </c>
    </row>
    <row r="51" spans="1:19" ht="45" customHeight="1" x14ac:dyDescent="0.25">
      <c r="A51" s="218"/>
      <c r="B51" s="197" t="s">
        <v>24</v>
      </c>
      <c r="C51" s="198"/>
      <c r="D51" s="21">
        <v>11.2</v>
      </c>
      <c r="E51" s="22">
        <v>11.4</v>
      </c>
      <c r="F51" s="92">
        <v>11.6</v>
      </c>
      <c r="G51" s="151">
        <v>12.1</v>
      </c>
      <c r="H51" s="21">
        <v>12.6</v>
      </c>
      <c r="I51" s="92">
        <v>13</v>
      </c>
    </row>
    <row r="52" spans="1:19" ht="47.25" customHeight="1" x14ac:dyDescent="0.25">
      <c r="A52" s="218"/>
      <c r="B52" s="197" t="s">
        <v>25</v>
      </c>
      <c r="C52" s="198"/>
      <c r="D52" s="21">
        <v>6.5</v>
      </c>
      <c r="E52" s="22">
        <v>6.8</v>
      </c>
      <c r="F52" s="92">
        <v>6.3</v>
      </c>
      <c r="G52" s="21">
        <v>6</v>
      </c>
      <c r="H52" s="21">
        <v>6.1</v>
      </c>
      <c r="I52" s="92">
        <v>6.4</v>
      </c>
    </row>
    <row r="53" spans="1:19" ht="45" customHeight="1" x14ac:dyDescent="0.25">
      <c r="A53" s="218"/>
      <c r="B53" s="199" t="s">
        <v>26</v>
      </c>
      <c r="C53" s="200"/>
      <c r="D53" s="25">
        <v>2</v>
      </c>
      <c r="E53" s="25">
        <v>1.4</v>
      </c>
      <c r="F53" s="93">
        <v>2.4</v>
      </c>
      <c r="G53" s="152">
        <v>2.4</v>
      </c>
      <c r="H53" s="25">
        <v>2.7</v>
      </c>
      <c r="I53" s="93">
        <v>3</v>
      </c>
    </row>
    <row r="54" spans="1:19" ht="15" customHeight="1" x14ac:dyDescent="0.25">
      <c r="A54" s="258" t="s">
        <v>213</v>
      </c>
      <c r="B54" s="258"/>
      <c r="C54" s="258"/>
      <c r="D54" s="258"/>
      <c r="E54" s="258"/>
      <c r="F54" s="258"/>
      <c r="G54" s="21"/>
      <c r="H54" s="21"/>
      <c r="I54" s="21"/>
    </row>
    <row r="55" spans="1:19" x14ac:dyDescent="0.25">
      <c r="A55" s="94"/>
      <c r="B55" s="95"/>
      <c r="C55" s="95"/>
      <c r="D55" s="21"/>
      <c r="E55" s="21"/>
      <c r="F55" s="21"/>
      <c r="G55" s="21"/>
      <c r="H55" s="21"/>
      <c r="I55" s="21"/>
    </row>
    <row r="56" spans="1:19" x14ac:dyDescent="0.25">
      <c r="A56" s="217" t="s">
        <v>166</v>
      </c>
      <c r="B56" s="217"/>
      <c r="C56" s="217"/>
      <c r="D56" s="217"/>
      <c r="E56" s="217"/>
      <c r="F56" s="217"/>
      <c r="G56" s="217"/>
      <c r="H56" s="217"/>
      <c r="I56" s="217"/>
      <c r="J56" s="217"/>
    </row>
    <row r="57" spans="1:19" x14ac:dyDescent="0.25">
      <c r="A57" s="29"/>
      <c r="B57" s="211" t="s">
        <v>167</v>
      </c>
      <c r="C57" s="212"/>
      <c r="D57" s="212"/>
      <c r="E57" s="212"/>
      <c r="F57" s="212"/>
      <c r="G57" s="213"/>
      <c r="H57" s="211" t="s">
        <v>156</v>
      </c>
      <c r="I57" s="212"/>
      <c r="J57" s="212"/>
      <c r="K57" s="212"/>
      <c r="L57" s="212"/>
      <c r="M57" s="213"/>
      <c r="N57" s="211" t="s">
        <v>40</v>
      </c>
      <c r="O57" s="212"/>
      <c r="P57" s="212"/>
      <c r="Q57" s="212"/>
      <c r="R57" s="212"/>
      <c r="S57" s="213"/>
    </row>
    <row r="58" spans="1:19" ht="126" customHeight="1" x14ac:dyDescent="0.25">
      <c r="A58" s="237"/>
      <c r="B58" s="224" t="s">
        <v>28</v>
      </c>
      <c r="C58" s="224"/>
      <c r="D58" s="224" t="s">
        <v>29</v>
      </c>
      <c r="E58" s="224"/>
      <c r="F58" s="224" t="s">
        <v>184</v>
      </c>
      <c r="G58" s="236"/>
      <c r="H58" s="224" t="s">
        <v>28</v>
      </c>
      <c r="I58" s="224"/>
      <c r="J58" s="224" t="s">
        <v>29</v>
      </c>
      <c r="K58" s="224"/>
      <c r="L58" s="225" t="s">
        <v>184</v>
      </c>
      <c r="M58" s="226"/>
      <c r="N58" s="224" t="s">
        <v>28</v>
      </c>
      <c r="O58" s="224"/>
      <c r="P58" s="224" t="s">
        <v>29</v>
      </c>
      <c r="Q58" s="224"/>
      <c r="R58" s="224" t="s">
        <v>184</v>
      </c>
      <c r="S58" s="236"/>
    </row>
    <row r="59" spans="1:19" x14ac:dyDescent="0.25">
      <c r="A59" s="238"/>
      <c r="B59" s="30" t="s">
        <v>4</v>
      </c>
      <c r="C59" s="31" t="s">
        <v>5</v>
      </c>
      <c r="D59" s="31" t="s">
        <v>4</v>
      </c>
      <c r="E59" s="31" t="s">
        <v>5</v>
      </c>
      <c r="F59" s="19" t="s">
        <v>4</v>
      </c>
      <c r="G59" s="32" t="s">
        <v>5</v>
      </c>
      <c r="H59" s="30" t="s">
        <v>4</v>
      </c>
      <c r="I59" s="31" t="s">
        <v>5</v>
      </c>
      <c r="J59" s="31" t="s">
        <v>4</v>
      </c>
      <c r="K59" s="31" t="s">
        <v>5</v>
      </c>
      <c r="L59" s="35" t="s">
        <v>4</v>
      </c>
      <c r="M59" s="32" t="s">
        <v>5</v>
      </c>
      <c r="N59" s="30" t="s">
        <v>4</v>
      </c>
      <c r="O59" s="31" t="s">
        <v>5</v>
      </c>
      <c r="P59" s="31" t="s">
        <v>4</v>
      </c>
      <c r="Q59" s="31" t="s">
        <v>5</v>
      </c>
      <c r="R59" s="62" t="s">
        <v>4</v>
      </c>
      <c r="S59" s="32" t="s">
        <v>5</v>
      </c>
    </row>
    <row r="60" spans="1:19" ht="30" x14ac:dyDescent="0.25">
      <c r="A60" s="17" t="s">
        <v>13</v>
      </c>
      <c r="B60" s="22">
        <v>8</v>
      </c>
      <c r="C60" s="156">
        <v>9.8000000000000007</v>
      </c>
      <c r="D60" s="22">
        <v>6.1</v>
      </c>
      <c r="E60" s="156">
        <v>7</v>
      </c>
      <c r="F60" s="22">
        <v>91.8</v>
      </c>
      <c r="G60" s="157">
        <v>89.7</v>
      </c>
      <c r="H60" s="21">
        <v>8.1</v>
      </c>
      <c r="I60" s="21">
        <v>10</v>
      </c>
      <c r="J60" s="21">
        <v>5.4</v>
      </c>
      <c r="K60" s="21">
        <v>6.9</v>
      </c>
      <c r="L60" s="21">
        <v>84.9</v>
      </c>
      <c r="M60" s="21">
        <v>87</v>
      </c>
      <c r="N60" s="36">
        <v>6.9</v>
      </c>
      <c r="O60" s="37">
        <v>9.6</v>
      </c>
      <c r="P60" s="37">
        <v>5.7</v>
      </c>
      <c r="Q60" s="37">
        <v>6.4</v>
      </c>
      <c r="R60" s="37">
        <v>86.2</v>
      </c>
      <c r="S60" s="27">
        <v>85.2</v>
      </c>
    </row>
    <row r="61" spans="1:19" ht="45" x14ac:dyDescent="0.25">
      <c r="A61" s="18" t="s">
        <v>14</v>
      </c>
      <c r="B61" s="22">
        <v>18.3</v>
      </c>
      <c r="C61" s="156">
        <v>17.7</v>
      </c>
      <c r="D61" s="22">
        <v>13.9</v>
      </c>
      <c r="E61" s="156">
        <v>10.8</v>
      </c>
      <c r="F61" s="22">
        <v>82.4</v>
      </c>
      <c r="G61" s="158">
        <v>69.099999999999994</v>
      </c>
      <c r="H61" s="21">
        <v>21.4</v>
      </c>
      <c r="I61" s="21">
        <v>16.7</v>
      </c>
      <c r="J61" s="21">
        <v>15.5</v>
      </c>
      <c r="K61" s="21">
        <v>10.9</v>
      </c>
      <c r="L61" s="21">
        <v>81.5</v>
      </c>
      <c r="M61" s="21">
        <v>68</v>
      </c>
      <c r="N61" s="34">
        <v>20</v>
      </c>
      <c r="O61" s="22">
        <v>16.5</v>
      </c>
      <c r="P61" s="22">
        <v>16.8</v>
      </c>
      <c r="Q61" s="22">
        <v>10.6</v>
      </c>
      <c r="R61" s="22">
        <v>68.8</v>
      </c>
      <c r="S61" s="24">
        <v>68.099999999999994</v>
      </c>
    </row>
    <row r="62" spans="1:19" ht="45" x14ac:dyDescent="0.25">
      <c r="A62" s="18" t="s">
        <v>15</v>
      </c>
      <c r="B62" s="22">
        <v>11.4</v>
      </c>
      <c r="C62" s="156">
        <v>17.3</v>
      </c>
      <c r="D62" s="22">
        <v>8.4</v>
      </c>
      <c r="E62" s="156">
        <v>13.3</v>
      </c>
      <c r="F62" s="22">
        <v>70.400000000000006</v>
      </c>
      <c r="G62" s="159">
        <v>81.8</v>
      </c>
      <c r="H62" s="21">
        <v>10.6</v>
      </c>
      <c r="I62" s="21">
        <v>17.100000000000001</v>
      </c>
      <c r="J62" s="21">
        <v>7.4</v>
      </c>
      <c r="K62" s="21">
        <v>13</v>
      </c>
      <c r="L62" s="21">
        <v>52.2</v>
      </c>
      <c r="M62" s="21">
        <v>81</v>
      </c>
      <c r="N62" s="34">
        <v>9.8000000000000007</v>
      </c>
      <c r="O62" s="22">
        <v>16.8</v>
      </c>
      <c r="P62" s="22">
        <v>6.4</v>
      </c>
      <c r="Q62" s="22">
        <v>13</v>
      </c>
      <c r="R62" s="22">
        <v>65.5</v>
      </c>
      <c r="S62" s="24">
        <v>78.599999999999994</v>
      </c>
    </row>
    <row r="63" spans="1:19" x14ac:dyDescent="0.25">
      <c r="A63" s="5" t="s">
        <v>9</v>
      </c>
      <c r="B63" s="160">
        <v>11.6</v>
      </c>
      <c r="C63" s="161">
        <v>13</v>
      </c>
      <c r="D63" s="66">
        <v>8.8000000000000007</v>
      </c>
      <c r="E63" s="161">
        <v>8.9</v>
      </c>
      <c r="F63" s="66">
        <v>83.4</v>
      </c>
      <c r="G63" s="162">
        <v>80</v>
      </c>
      <c r="H63" s="39">
        <v>12.3</v>
      </c>
      <c r="I63" s="20">
        <v>12.8</v>
      </c>
      <c r="J63" s="20">
        <v>8.6</v>
      </c>
      <c r="K63" s="20">
        <v>8.8000000000000007</v>
      </c>
      <c r="L63" s="20">
        <v>77.7</v>
      </c>
      <c r="M63" s="40">
        <v>78.400000000000006</v>
      </c>
      <c r="N63" s="41">
        <v>10.9</v>
      </c>
      <c r="O63" s="42">
        <v>12.4</v>
      </c>
      <c r="P63" s="42">
        <v>8.8000000000000007</v>
      </c>
      <c r="Q63" s="42">
        <v>8.4</v>
      </c>
      <c r="R63" s="20">
        <v>74.400000000000006</v>
      </c>
      <c r="S63" s="43">
        <v>77.2</v>
      </c>
    </row>
    <row r="64" spans="1:19" ht="15" customHeight="1" x14ac:dyDescent="0.25">
      <c r="A64" s="258" t="s">
        <v>213</v>
      </c>
      <c r="B64" s="258"/>
      <c r="C64" s="258"/>
      <c r="D64" s="258"/>
      <c r="E64" s="258"/>
      <c r="F64" s="258"/>
    </row>
  </sheetData>
  <mergeCells count="71">
    <mergeCell ref="A54:F54"/>
    <mergeCell ref="A64:F64"/>
    <mergeCell ref="L21:M21"/>
    <mergeCell ref="N57:S57"/>
    <mergeCell ref="N58:O58"/>
    <mergeCell ref="P58:Q58"/>
    <mergeCell ref="R58:S58"/>
    <mergeCell ref="A58:A59"/>
    <mergeCell ref="B58:C58"/>
    <mergeCell ref="D58:E58"/>
    <mergeCell ref="F58:G58"/>
    <mergeCell ref="H58:I58"/>
    <mergeCell ref="J58:K58"/>
    <mergeCell ref="L58:M58"/>
    <mergeCell ref="H57:M57"/>
    <mergeCell ref="H2:I3"/>
    <mergeCell ref="A20:K20"/>
    <mergeCell ref="A21:A22"/>
    <mergeCell ref="B21:C21"/>
    <mergeCell ref="D21:E21"/>
    <mergeCell ref="F21:G21"/>
    <mergeCell ref="H21:I21"/>
    <mergeCell ref="J21:K21"/>
    <mergeCell ref="F2:G3"/>
    <mergeCell ref="A12:A13"/>
    <mergeCell ref="B12:C12"/>
    <mergeCell ref="D12:E12"/>
    <mergeCell ref="F12:G12"/>
    <mergeCell ref="A2:A4"/>
    <mergeCell ref="B2:C3"/>
    <mergeCell ref="D2:E3"/>
    <mergeCell ref="B40:C40"/>
    <mergeCell ref="B41:C41"/>
    <mergeCell ref="B34:C34"/>
    <mergeCell ref="B35:C35"/>
    <mergeCell ref="B36:C36"/>
    <mergeCell ref="A9:F9"/>
    <mergeCell ref="A18:F18"/>
    <mergeCell ref="A27:F27"/>
    <mergeCell ref="B57:G57"/>
    <mergeCell ref="D30:F30"/>
    <mergeCell ref="G30:I30"/>
    <mergeCell ref="B50:C50"/>
    <mergeCell ref="B51:C51"/>
    <mergeCell ref="A56:J56"/>
    <mergeCell ref="A49:A53"/>
    <mergeCell ref="B52:C52"/>
    <mergeCell ref="B53:C53"/>
    <mergeCell ref="A42:A43"/>
    <mergeCell ref="B42:C43"/>
    <mergeCell ref="D42:F42"/>
    <mergeCell ref="G42:I42"/>
    <mergeCell ref="A44:A48"/>
    <mergeCell ref="B32:C32"/>
    <mergeCell ref="B33:C33"/>
    <mergeCell ref="A1:F1"/>
    <mergeCell ref="A11:G11"/>
    <mergeCell ref="B47:C47"/>
    <mergeCell ref="B48:C48"/>
    <mergeCell ref="B49:C49"/>
    <mergeCell ref="B44:C44"/>
    <mergeCell ref="B45:C45"/>
    <mergeCell ref="B46:C46"/>
    <mergeCell ref="A37:A41"/>
    <mergeCell ref="B37:C37"/>
    <mergeCell ref="A29:I29"/>
    <mergeCell ref="A30:A31"/>
    <mergeCell ref="B30:C31"/>
    <mergeCell ref="B38:C38"/>
    <mergeCell ref="B39:C39"/>
    <mergeCell ref="A32:A36"/>
  </mergeCells>
  <pageMargins left="0.7" right="0.7" top="0.75" bottom="0.75" header="0.3" footer="0.3"/>
  <pageSetup paperSize="9" scale="66" orientation="landscape" r:id="rId1"/>
  <rowBreaks count="2" manualBreakCount="2">
    <brk id="41" max="16383" man="1"/>
    <brk id="55" max="16383" man="1"/>
  </rowBreaks>
  <ignoredErrors>
    <ignoredError sqref="I5 I8 I6:I7 E14:E17 G14:G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"/>
  <sheetViews>
    <sheetView workbookViewId="0">
      <selection activeCell="A21" sqref="A21:F21"/>
    </sheetView>
  </sheetViews>
  <sheetFormatPr defaultRowHeight="15" x14ac:dyDescent="0.25"/>
  <cols>
    <col min="1" max="1" width="39.5703125" style="64" customWidth="1"/>
    <col min="2" max="2" width="18" style="64" bestFit="1" customWidth="1"/>
    <col min="3" max="3" width="15.42578125" style="64" bestFit="1" customWidth="1"/>
    <col min="4" max="4" width="15.7109375" style="64" customWidth="1"/>
    <col min="5" max="5" width="18" style="64" bestFit="1" customWidth="1"/>
    <col min="6" max="7" width="15.42578125" style="64" bestFit="1" customWidth="1"/>
    <col min="8" max="8" width="18" style="64" customWidth="1"/>
    <col min="9" max="9" width="18.28515625" style="64" customWidth="1"/>
    <col min="10" max="10" width="16.85546875" style="64" customWidth="1"/>
    <col min="11" max="16384" width="9.140625" style="64"/>
  </cols>
  <sheetData>
    <row r="1" spans="1:11" x14ac:dyDescent="0.25">
      <c r="A1" s="217" t="s">
        <v>168</v>
      </c>
      <c r="B1" s="217"/>
      <c r="C1" s="217"/>
      <c r="D1" s="217"/>
      <c r="E1" s="217"/>
      <c r="F1" s="217"/>
    </row>
    <row r="2" spans="1:11" x14ac:dyDescent="0.25">
      <c r="B2" s="241" t="s">
        <v>167</v>
      </c>
      <c r="C2" s="242"/>
      <c r="D2" s="243"/>
      <c r="E2" s="241" t="s">
        <v>156</v>
      </c>
      <c r="F2" s="242"/>
      <c r="G2" s="243"/>
      <c r="H2" s="241" t="s">
        <v>40</v>
      </c>
      <c r="I2" s="242"/>
      <c r="J2" s="243"/>
    </row>
    <row r="3" spans="1:11" ht="90" x14ac:dyDescent="0.25">
      <c r="A3" s="70" t="s">
        <v>30</v>
      </c>
      <c r="B3" s="71" t="s">
        <v>48</v>
      </c>
      <c r="C3" s="71" t="s">
        <v>18</v>
      </c>
      <c r="D3" s="72" t="s">
        <v>19</v>
      </c>
      <c r="E3" s="71" t="s">
        <v>48</v>
      </c>
      <c r="F3" s="71" t="s">
        <v>18</v>
      </c>
      <c r="G3" s="72" t="s">
        <v>19</v>
      </c>
      <c r="H3" s="71" t="s">
        <v>48</v>
      </c>
      <c r="I3" s="71" t="s">
        <v>18</v>
      </c>
      <c r="J3" s="72" t="s">
        <v>19</v>
      </c>
      <c r="K3" s="167"/>
    </row>
    <row r="4" spans="1:11" x14ac:dyDescent="0.25">
      <c r="A4" s="73" t="s">
        <v>31</v>
      </c>
      <c r="B4" s="69">
        <f>37.5+51.8</f>
        <v>89.3</v>
      </c>
      <c r="C4" s="74">
        <f>33.9+58.9</f>
        <v>92.8</v>
      </c>
      <c r="D4" s="75">
        <f>46.4+42.9</f>
        <v>89.3</v>
      </c>
      <c r="E4" s="69">
        <f>45.5+47</f>
        <v>92.5</v>
      </c>
      <c r="F4" s="74">
        <f>27.3+62.1</f>
        <v>89.4</v>
      </c>
      <c r="G4" s="75">
        <f>43.9+40.9</f>
        <v>84.8</v>
      </c>
      <c r="H4" s="69">
        <f>27.5+61.5</f>
        <v>89</v>
      </c>
      <c r="I4" s="74">
        <f>20.9+60.4</f>
        <v>81.3</v>
      </c>
      <c r="J4" s="75">
        <f>34.1+52.7</f>
        <v>86.800000000000011</v>
      </c>
    </row>
    <row r="5" spans="1:11" x14ac:dyDescent="0.25">
      <c r="A5" s="73" t="s">
        <v>41</v>
      </c>
      <c r="B5" s="69">
        <f>40.2+51.5</f>
        <v>91.7</v>
      </c>
      <c r="C5" s="74">
        <f>22.8+60.2</f>
        <v>83</v>
      </c>
      <c r="D5" s="75">
        <f>24.5+54.8</f>
        <v>79.3</v>
      </c>
      <c r="E5" s="69">
        <f>48.9+44.4</f>
        <v>93.3</v>
      </c>
      <c r="F5" s="74">
        <f>23.9+63.3</f>
        <v>87.199999999999989</v>
      </c>
      <c r="G5" s="75">
        <f>37.2+50.6</f>
        <v>87.800000000000011</v>
      </c>
      <c r="H5" s="69">
        <f>41.7+52.8</f>
        <v>94.5</v>
      </c>
      <c r="I5" s="74">
        <f>22.7+65.3</f>
        <v>88</v>
      </c>
      <c r="J5" s="75">
        <f>28.2+44.9</f>
        <v>73.099999999999994</v>
      </c>
    </row>
    <row r="6" spans="1:11" x14ac:dyDescent="0.25">
      <c r="A6" s="73" t="s">
        <v>32</v>
      </c>
      <c r="B6" s="69">
        <f>42.9+49.8</f>
        <v>92.699999999999989</v>
      </c>
      <c r="C6" s="74">
        <f>19+70.6</f>
        <v>89.6</v>
      </c>
      <c r="D6" s="75">
        <f>40.7+51.5</f>
        <v>92.2</v>
      </c>
      <c r="E6" s="69">
        <f>41.9+47.6</f>
        <v>89.5</v>
      </c>
      <c r="F6" s="74">
        <f>19.8+68.1</f>
        <v>87.899999999999991</v>
      </c>
      <c r="G6" s="75">
        <f>39.1+51.2</f>
        <v>90.300000000000011</v>
      </c>
      <c r="H6" s="69">
        <f>43.6+48.2</f>
        <v>91.800000000000011</v>
      </c>
      <c r="I6" s="74">
        <f>21.1+66.4</f>
        <v>87.5</v>
      </c>
      <c r="J6" s="75">
        <f>43.2+46.1</f>
        <v>89.300000000000011</v>
      </c>
    </row>
    <row r="7" spans="1:11" ht="30" x14ac:dyDescent="0.25">
      <c r="A7" s="73" t="s">
        <v>46</v>
      </c>
      <c r="B7" s="69">
        <f>58.1+36</f>
        <v>94.1</v>
      </c>
      <c r="C7" s="74">
        <f>36+56.6</f>
        <v>92.6</v>
      </c>
      <c r="D7" s="75">
        <f>37.5+53.7</f>
        <v>91.2</v>
      </c>
      <c r="E7" s="69">
        <f>47.9+48.9</f>
        <v>96.8</v>
      </c>
      <c r="F7" s="74">
        <f>40.4+57.4</f>
        <v>97.8</v>
      </c>
      <c r="G7" s="75">
        <f>43.6+45.7</f>
        <v>89.300000000000011</v>
      </c>
      <c r="H7" s="69">
        <f>43.8+51.6</f>
        <v>95.4</v>
      </c>
      <c r="I7" s="74">
        <f>35.9+60.9</f>
        <v>96.8</v>
      </c>
      <c r="J7" s="75">
        <f>45.3+50</f>
        <v>95.3</v>
      </c>
    </row>
    <row r="8" spans="1:11" x14ac:dyDescent="0.25">
      <c r="A8" s="73" t="s">
        <v>33</v>
      </c>
      <c r="B8" s="69">
        <f>49.6+44.3</f>
        <v>93.9</v>
      </c>
      <c r="C8" s="74">
        <f>31.7+58.3</f>
        <v>90</v>
      </c>
      <c r="D8" s="75">
        <f>33.5+50.4</f>
        <v>83.9</v>
      </c>
      <c r="E8" s="69">
        <f>53+41</f>
        <v>94</v>
      </c>
      <c r="F8" s="74">
        <f>30.8+59</f>
        <v>89.8</v>
      </c>
      <c r="G8" s="75">
        <f>38+50.9</f>
        <v>88.9</v>
      </c>
      <c r="H8" s="69">
        <f>50.7+42</f>
        <v>92.7</v>
      </c>
      <c r="I8" s="74">
        <f>29.5+61.8</f>
        <v>91.3</v>
      </c>
      <c r="J8" s="75">
        <f>42.5+44</f>
        <v>86.5</v>
      </c>
    </row>
    <row r="9" spans="1:11" ht="30" x14ac:dyDescent="0.25">
      <c r="A9" s="73" t="s">
        <v>34</v>
      </c>
      <c r="B9" s="69">
        <f>35.3+56.1</f>
        <v>91.4</v>
      </c>
      <c r="C9" s="74">
        <f>28.1+65.5</f>
        <v>93.6</v>
      </c>
      <c r="D9" s="75">
        <f>29.5+49.6</f>
        <v>79.099999999999994</v>
      </c>
      <c r="E9" s="69">
        <f>30.7+60.8</f>
        <v>91.5</v>
      </c>
      <c r="F9" s="74">
        <f>24.8+65.4</f>
        <v>90.2</v>
      </c>
      <c r="G9" s="75">
        <f>22.2+50.3</f>
        <v>72.5</v>
      </c>
      <c r="H9" s="69">
        <f>33.1+57.9</f>
        <v>91</v>
      </c>
      <c r="I9" s="74">
        <f>22.1+69</f>
        <v>91.1</v>
      </c>
      <c r="J9" s="75">
        <f>23.4+47.6</f>
        <v>71</v>
      </c>
    </row>
    <row r="10" spans="1:11" x14ac:dyDescent="0.25">
      <c r="A10" s="73" t="s">
        <v>45</v>
      </c>
      <c r="B10" s="69">
        <f>39.6+49.6</f>
        <v>89.2</v>
      </c>
      <c r="C10" s="74">
        <f>23+67.6</f>
        <v>90.6</v>
      </c>
      <c r="D10" s="75">
        <f>23.7+59.7</f>
        <v>83.4</v>
      </c>
      <c r="E10" s="69">
        <f>39.2+52</f>
        <v>91.2</v>
      </c>
      <c r="F10" s="74">
        <f>25.6+68.8</f>
        <v>94.4</v>
      </c>
      <c r="G10" s="75">
        <f>27.2+56</f>
        <v>83.2</v>
      </c>
      <c r="H10" s="69">
        <f>30.9+50.6</f>
        <v>81.5</v>
      </c>
      <c r="I10" s="74">
        <f>18.5+69.1</f>
        <v>87.6</v>
      </c>
      <c r="J10" s="75">
        <f>33.3+48.1</f>
        <v>81.400000000000006</v>
      </c>
    </row>
    <row r="11" spans="1:11" ht="30" x14ac:dyDescent="0.25">
      <c r="A11" s="73" t="s">
        <v>47</v>
      </c>
      <c r="B11" s="69">
        <f>54.3+37.8</f>
        <v>92.1</v>
      </c>
      <c r="C11" s="74">
        <f>40.4+55.9</f>
        <v>96.3</v>
      </c>
      <c r="D11" s="75">
        <f>47.3+44.1</f>
        <v>91.4</v>
      </c>
      <c r="E11" s="69">
        <f>54+40.2</f>
        <v>94.2</v>
      </c>
      <c r="F11" s="74">
        <f>36.5+61.9</f>
        <v>98.4</v>
      </c>
      <c r="G11" s="75">
        <f>45.5+43.9</f>
        <v>89.4</v>
      </c>
      <c r="H11" s="69">
        <f>49+45.2</f>
        <v>94.2</v>
      </c>
      <c r="I11" s="74">
        <f>44.7+51</f>
        <v>95.7</v>
      </c>
      <c r="J11" s="75">
        <f>45.7+47.6</f>
        <v>93.300000000000011</v>
      </c>
    </row>
    <row r="12" spans="1:11" x14ac:dyDescent="0.25">
      <c r="A12" s="73" t="s">
        <v>35</v>
      </c>
      <c r="B12" s="69">
        <f>47.5+45.5</f>
        <v>93</v>
      </c>
      <c r="C12" s="74">
        <f>39.4+53.5</f>
        <v>92.9</v>
      </c>
      <c r="D12" s="76">
        <f>39.4+47.5</f>
        <v>86.9</v>
      </c>
      <c r="E12" s="69">
        <f>32.6+58.4</f>
        <v>91</v>
      </c>
      <c r="F12" s="74">
        <f>25.8+64</f>
        <v>89.8</v>
      </c>
      <c r="G12" s="76">
        <f>28.1+42.7</f>
        <v>70.800000000000011</v>
      </c>
      <c r="H12" s="69">
        <f>41.4+51.7</f>
        <v>93.1</v>
      </c>
      <c r="I12" s="74">
        <f>27.6+62.1</f>
        <v>89.7</v>
      </c>
      <c r="J12" s="76">
        <f>29.3+44</f>
        <v>73.3</v>
      </c>
    </row>
    <row r="13" spans="1:11" ht="18.75" customHeight="1" x14ac:dyDescent="0.25">
      <c r="A13" s="73" t="s">
        <v>42</v>
      </c>
      <c r="B13" s="69">
        <f>58.3+38.3</f>
        <v>96.6</v>
      </c>
      <c r="C13" s="74">
        <f>45+53.3</f>
        <v>98.3</v>
      </c>
      <c r="D13" s="75">
        <f>53.3+38.3</f>
        <v>91.6</v>
      </c>
      <c r="E13" s="69">
        <f>55.6+38.1</f>
        <v>93.7</v>
      </c>
      <c r="F13" s="74">
        <f>44.4+50.8</f>
        <v>95.199999999999989</v>
      </c>
      <c r="G13" s="75">
        <f>52.4+39.7</f>
        <v>92.1</v>
      </c>
      <c r="H13" s="69">
        <f>38.8+50</f>
        <v>88.8</v>
      </c>
      <c r="I13" s="74">
        <f>43.8+47.5</f>
        <v>91.3</v>
      </c>
      <c r="J13" s="75">
        <f>42.5+41.3</f>
        <v>83.8</v>
      </c>
    </row>
    <row r="14" spans="1:11" ht="27.75" customHeight="1" x14ac:dyDescent="0.25">
      <c r="A14" s="73" t="s">
        <v>36</v>
      </c>
      <c r="B14" s="69">
        <f>30.6+56.7</f>
        <v>87.300000000000011</v>
      </c>
      <c r="C14" s="74">
        <f>12.2+62.1</f>
        <v>74.3</v>
      </c>
      <c r="D14" s="76">
        <f>15.2+50.9</f>
        <v>66.099999999999994</v>
      </c>
      <c r="E14" s="69">
        <f>32.7+53.5</f>
        <v>86.2</v>
      </c>
      <c r="F14" s="74">
        <f>18.2+63.3</f>
        <v>81.5</v>
      </c>
      <c r="G14" s="76">
        <f>21.1+44.2</f>
        <v>65.300000000000011</v>
      </c>
      <c r="H14" s="69">
        <f>35.8+55.9</f>
        <v>91.699999999999989</v>
      </c>
      <c r="I14" s="74">
        <f>17.5+66.2</f>
        <v>83.7</v>
      </c>
      <c r="J14" s="76">
        <f>20.9+49</f>
        <v>69.900000000000006</v>
      </c>
    </row>
    <row r="15" spans="1:11" x14ac:dyDescent="0.25">
      <c r="A15" s="73" t="s">
        <v>43</v>
      </c>
      <c r="B15" s="69">
        <f>50.3+42.1</f>
        <v>92.4</v>
      </c>
      <c r="C15" s="74">
        <f>44.7+52.2</f>
        <v>96.9</v>
      </c>
      <c r="D15" s="75">
        <f>53.5+42.1</f>
        <v>95.6</v>
      </c>
      <c r="E15" s="69">
        <f>52+45.5</f>
        <v>97.5</v>
      </c>
      <c r="F15" s="74">
        <f>43.1+53.7</f>
        <v>96.800000000000011</v>
      </c>
      <c r="G15" s="75">
        <f>55.3+43.9</f>
        <v>99.199999999999989</v>
      </c>
      <c r="H15" s="69">
        <f>47+45.2</f>
        <v>92.2</v>
      </c>
      <c r="I15" s="74">
        <f>38.1+56</f>
        <v>94.1</v>
      </c>
      <c r="J15" s="75">
        <f>56+41.1</f>
        <v>97.1</v>
      </c>
    </row>
    <row r="16" spans="1:11" x14ac:dyDescent="0.25">
      <c r="A16" s="73" t="s">
        <v>44</v>
      </c>
      <c r="B16" s="69">
        <f>36+50</f>
        <v>86</v>
      </c>
      <c r="C16" s="74">
        <f>26.8+64</f>
        <v>90.8</v>
      </c>
      <c r="D16" s="75">
        <f>41.5+51.2</f>
        <v>92.7</v>
      </c>
      <c r="E16" s="69">
        <f>39.9+49</f>
        <v>88.9</v>
      </c>
      <c r="F16" s="74">
        <f>28.8+64.1</f>
        <v>92.899999999999991</v>
      </c>
      <c r="G16" s="75">
        <f>45.8+46.4</f>
        <v>92.199999999999989</v>
      </c>
      <c r="H16" s="69">
        <f>36.2+57.4</f>
        <v>93.6</v>
      </c>
      <c r="I16" s="74">
        <f>38.3+59.6</f>
        <v>97.9</v>
      </c>
      <c r="J16" s="75">
        <f>41.1+51.1</f>
        <v>92.2</v>
      </c>
    </row>
    <row r="17" spans="1:10" x14ac:dyDescent="0.25">
      <c r="A17" s="73" t="s">
        <v>37</v>
      </c>
      <c r="B17" s="69">
        <f>53.4+39.9</f>
        <v>93.3</v>
      </c>
      <c r="C17" s="74">
        <f>43.6+50.3</f>
        <v>93.9</v>
      </c>
      <c r="D17" s="76">
        <f>44.8+44.8</f>
        <v>89.6</v>
      </c>
      <c r="E17" s="69">
        <f>40.9+46.4</f>
        <v>87.3</v>
      </c>
      <c r="F17" s="74">
        <f>38.1+52.5</f>
        <v>90.6</v>
      </c>
      <c r="G17" s="76">
        <f>38.1+43.6</f>
        <v>81.7</v>
      </c>
      <c r="H17" s="69">
        <f>39.7+47.9</f>
        <v>87.6</v>
      </c>
      <c r="I17" s="74">
        <f>34.5+59.8</f>
        <v>94.3</v>
      </c>
      <c r="J17" s="76">
        <f>35.6+46.4</f>
        <v>82</v>
      </c>
    </row>
    <row r="18" spans="1:10" x14ac:dyDescent="0.25">
      <c r="A18" s="73" t="s">
        <v>38</v>
      </c>
      <c r="B18" s="69">
        <f>33.4+57</f>
        <v>90.4</v>
      </c>
      <c r="C18" s="74">
        <f>15.4+67.1</f>
        <v>82.5</v>
      </c>
      <c r="D18" s="75">
        <f>33.9+55.6</f>
        <v>89.5</v>
      </c>
      <c r="E18" s="69">
        <f>34.3+52.7</f>
        <v>87</v>
      </c>
      <c r="F18" s="74">
        <f>17.7+62.8</f>
        <v>80.5</v>
      </c>
      <c r="G18" s="75">
        <f>35.8+54</f>
        <v>89.8</v>
      </c>
      <c r="H18" s="69">
        <f>33.3+51.2</f>
        <v>84.5</v>
      </c>
      <c r="I18" s="74">
        <f>15.3+66.3</f>
        <v>81.599999999999994</v>
      </c>
      <c r="J18" s="75">
        <f>34.6+54.6</f>
        <v>89.2</v>
      </c>
    </row>
    <row r="19" spans="1:10" x14ac:dyDescent="0.25">
      <c r="A19" s="70" t="s">
        <v>39</v>
      </c>
      <c r="B19" s="77">
        <f>41.9+49.1</f>
        <v>91</v>
      </c>
      <c r="C19" s="78">
        <f>26.6+61.2</f>
        <v>87.800000000000011</v>
      </c>
      <c r="D19" s="79">
        <f>34.3+50.6</f>
        <v>84.9</v>
      </c>
      <c r="E19" s="77">
        <v>90.4</v>
      </c>
      <c r="F19" s="78">
        <v>88.6</v>
      </c>
      <c r="G19" s="79">
        <v>84.5</v>
      </c>
      <c r="H19" s="77">
        <f>39.6+51</f>
        <v>90.6</v>
      </c>
      <c r="I19" s="78">
        <f>26.2+62.6</f>
        <v>88.8</v>
      </c>
      <c r="J19" s="79">
        <f>35.8+47.9</f>
        <v>83.699999999999989</v>
      </c>
    </row>
    <row r="20" spans="1:10" x14ac:dyDescent="0.25">
      <c r="A20" s="70" t="s">
        <v>5</v>
      </c>
      <c r="B20" s="68">
        <f>38.4+50.5</f>
        <v>88.9</v>
      </c>
      <c r="C20" s="68">
        <f>23.2+63.2</f>
        <v>86.4</v>
      </c>
      <c r="D20" s="80">
        <v>82.7</v>
      </c>
      <c r="E20" s="68">
        <v>88.1</v>
      </c>
      <c r="F20" s="68">
        <v>85.5</v>
      </c>
      <c r="G20" s="80">
        <v>81.400000000000006</v>
      </c>
      <c r="H20" s="68">
        <f>35.9+51.7</f>
        <v>87.6</v>
      </c>
      <c r="I20" s="68">
        <f>21.7+63.2</f>
        <v>84.9</v>
      </c>
      <c r="J20" s="80">
        <f>30.6+48.8</f>
        <v>79.400000000000006</v>
      </c>
    </row>
    <row r="21" spans="1:10" x14ac:dyDescent="0.25">
      <c r="A21" s="258" t="s">
        <v>213</v>
      </c>
      <c r="B21" s="258"/>
      <c r="C21" s="258"/>
      <c r="D21" s="258"/>
      <c r="E21" s="258"/>
      <c r="F21" s="258"/>
    </row>
  </sheetData>
  <mergeCells count="5">
    <mergeCell ref="H2:J2"/>
    <mergeCell ref="E2:G2"/>
    <mergeCell ref="B2:D2"/>
    <mergeCell ref="A1:F1"/>
    <mergeCell ref="A21:F21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3"/>
  <sheetViews>
    <sheetView topLeftCell="A70" zoomScaleNormal="100" workbookViewId="0">
      <selection activeCell="A82" sqref="A82:F82"/>
    </sheetView>
  </sheetViews>
  <sheetFormatPr defaultRowHeight="15" x14ac:dyDescent="0.25"/>
  <cols>
    <col min="1" max="1" width="20" style="64" customWidth="1"/>
    <col min="2" max="2" width="13.42578125" style="64" customWidth="1"/>
    <col min="3" max="16384" width="9.140625" style="64"/>
  </cols>
  <sheetData>
    <row r="1" spans="1:15" ht="30" customHeight="1" x14ac:dyDescent="0.25">
      <c r="A1" s="251" t="s">
        <v>169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3" spans="1:15" ht="82.5" customHeight="1" x14ac:dyDescent="0.25">
      <c r="A3" s="246" t="s">
        <v>51</v>
      </c>
      <c r="B3" s="246" t="s">
        <v>52</v>
      </c>
      <c r="C3" s="248" t="s">
        <v>170</v>
      </c>
      <c r="D3" s="244"/>
      <c r="E3" s="244" t="s">
        <v>16</v>
      </c>
      <c r="F3" s="244"/>
      <c r="G3" s="244" t="s">
        <v>17</v>
      </c>
      <c r="H3" s="244"/>
      <c r="I3" s="244" t="s">
        <v>18</v>
      </c>
      <c r="J3" s="244"/>
      <c r="K3" s="244" t="s">
        <v>19</v>
      </c>
      <c r="L3" s="244"/>
      <c r="M3" s="244" t="s">
        <v>53</v>
      </c>
      <c r="N3" s="245"/>
    </row>
    <row r="4" spans="1:15" x14ac:dyDescent="0.25">
      <c r="A4" s="247"/>
      <c r="B4" s="247"/>
      <c r="C4" s="103" t="s">
        <v>4</v>
      </c>
      <c r="D4" s="104" t="s">
        <v>20</v>
      </c>
      <c r="E4" s="104" t="s">
        <v>4</v>
      </c>
      <c r="F4" s="104" t="s">
        <v>20</v>
      </c>
      <c r="G4" s="104" t="s">
        <v>4</v>
      </c>
      <c r="H4" s="104" t="s">
        <v>20</v>
      </c>
      <c r="I4" s="104" t="s">
        <v>4</v>
      </c>
      <c r="J4" s="104" t="s">
        <v>20</v>
      </c>
      <c r="K4" s="104" t="s">
        <v>4</v>
      </c>
      <c r="L4" s="104" t="s">
        <v>20</v>
      </c>
      <c r="M4" s="104" t="s">
        <v>4</v>
      </c>
      <c r="N4" s="105" t="s">
        <v>20</v>
      </c>
    </row>
    <row r="5" spans="1:15" x14ac:dyDescent="0.25">
      <c r="A5" s="55" t="s">
        <v>54</v>
      </c>
      <c r="B5" s="56" t="s">
        <v>55</v>
      </c>
      <c r="C5" s="109">
        <v>36</v>
      </c>
      <c r="D5" s="106">
        <v>2386</v>
      </c>
      <c r="E5" s="110">
        <v>97.2</v>
      </c>
      <c r="F5" s="22">
        <v>96.6</v>
      </c>
      <c r="G5" s="110">
        <v>88.6</v>
      </c>
      <c r="H5" s="74">
        <v>93.9</v>
      </c>
      <c r="I5" s="110">
        <v>85.7</v>
      </c>
      <c r="J5" s="74">
        <v>90.8</v>
      </c>
      <c r="K5" s="110">
        <v>74.3</v>
      </c>
      <c r="L5" s="74">
        <v>80.900000000000006</v>
      </c>
      <c r="M5" s="110">
        <v>62.9</v>
      </c>
      <c r="N5" s="111">
        <v>71.400000000000006</v>
      </c>
    </row>
    <row r="6" spans="1:15" ht="45" x14ac:dyDescent="0.25">
      <c r="A6" s="55" t="s">
        <v>56</v>
      </c>
      <c r="B6" s="56" t="s">
        <v>57</v>
      </c>
      <c r="C6" s="109">
        <v>38</v>
      </c>
      <c r="D6" s="106">
        <v>1923</v>
      </c>
      <c r="E6" s="163">
        <v>94.7</v>
      </c>
      <c r="F6" s="64">
        <v>91.8</v>
      </c>
      <c r="G6" s="163">
        <v>97.2</v>
      </c>
      <c r="H6" s="64">
        <v>89.8</v>
      </c>
      <c r="I6" s="110">
        <v>100</v>
      </c>
      <c r="J6" s="74">
        <v>86.199999999999989</v>
      </c>
      <c r="K6" s="110">
        <v>94.4</v>
      </c>
      <c r="L6" s="74">
        <v>82.1</v>
      </c>
      <c r="M6" s="110">
        <v>86.1</v>
      </c>
      <c r="N6" s="111">
        <v>62.9</v>
      </c>
    </row>
    <row r="7" spans="1:15" ht="45" x14ac:dyDescent="0.25">
      <c r="A7" s="55" t="s">
        <v>58</v>
      </c>
      <c r="B7" s="56" t="s">
        <v>59</v>
      </c>
      <c r="C7" s="109">
        <v>6</v>
      </c>
      <c r="D7" s="106">
        <v>2729</v>
      </c>
      <c r="E7" s="110">
        <v>100</v>
      </c>
      <c r="F7" s="74">
        <v>93.9</v>
      </c>
      <c r="G7" s="110">
        <v>83.3</v>
      </c>
      <c r="H7" s="74">
        <v>88.3</v>
      </c>
      <c r="I7" s="110">
        <v>83.3</v>
      </c>
      <c r="J7" s="74">
        <v>89</v>
      </c>
      <c r="K7" s="110">
        <v>66.7</v>
      </c>
      <c r="L7" s="74">
        <v>84.7</v>
      </c>
      <c r="M7" s="110">
        <v>50</v>
      </c>
      <c r="N7" s="111">
        <v>64.599999999999994</v>
      </c>
      <c r="O7" s="134"/>
    </row>
    <row r="8" spans="1:15" ht="30" x14ac:dyDescent="0.25">
      <c r="A8" s="55" t="s">
        <v>60</v>
      </c>
      <c r="B8" s="56" t="s">
        <v>61</v>
      </c>
      <c r="C8" s="109">
        <v>211</v>
      </c>
      <c r="D8" s="106">
        <v>17417</v>
      </c>
      <c r="E8" s="110">
        <v>94.8</v>
      </c>
      <c r="F8" s="74">
        <v>94.1</v>
      </c>
      <c r="G8" s="110">
        <v>94</v>
      </c>
      <c r="H8" s="74">
        <v>89.4</v>
      </c>
      <c r="I8" s="110">
        <v>80.5</v>
      </c>
      <c r="J8" s="74">
        <v>83.6</v>
      </c>
      <c r="K8" s="110">
        <v>89.5</v>
      </c>
      <c r="L8" s="74">
        <v>85.3</v>
      </c>
      <c r="M8" s="110">
        <v>78.5</v>
      </c>
      <c r="N8" s="111">
        <v>71</v>
      </c>
    </row>
    <row r="9" spans="1:15" ht="30" x14ac:dyDescent="0.25">
      <c r="A9" s="55" t="s">
        <v>204</v>
      </c>
      <c r="B9" s="56" t="s">
        <v>62</v>
      </c>
      <c r="C9" s="109">
        <v>10</v>
      </c>
      <c r="D9" s="106">
        <v>2013</v>
      </c>
      <c r="E9" s="112">
        <v>100</v>
      </c>
      <c r="F9" s="74">
        <v>95.8</v>
      </c>
      <c r="G9" s="110">
        <v>100</v>
      </c>
      <c r="H9" s="110">
        <v>92</v>
      </c>
      <c r="I9" s="110">
        <v>100</v>
      </c>
      <c r="J9" s="110">
        <v>90.300000000000011</v>
      </c>
      <c r="K9" s="110">
        <v>100</v>
      </c>
      <c r="L9" s="110">
        <v>75.900000000000006</v>
      </c>
      <c r="M9" s="110">
        <v>90</v>
      </c>
      <c r="N9" s="111">
        <v>80.599999999999994</v>
      </c>
    </row>
    <row r="10" spans="1:15" ht="60" x14ac:dyDescent="0.25">
      <c r="A10" s="55" t="s">
        <v>63</v>
      </c>
      <c r="B10" s="56" t="s">
        <v>64</v>
      </c>
      <c r="C10" s="109">
        <v>19</v>
      </c>
      <c r="D10" s="106">
        <v>4009</v>
      </c>
      <c r="E10" s="112">
        <v>94.7</v>
      </c>
      <c r="F10" s="74">
        <v>93.9</v>
      </c>
      <c r="G10" s="110">
        <v>83.3</v>
      </c>
      <c r="H10" s="74">
        <v>83.6</v>
      </c>
      <c r="I10" s="110">
        <v>88.9</v>
      </c>
      <c r="J10" s="74">
        <v>84</v>
      </c>
      <c r="K10" s="110">
        <v>77.8</v>
      </c>
      <c r="L10" s="74">
        <v>77.900000000000006</v>
      </c>
      <c r="M10" s="110">
        <v>83.3</v>
      </c>
      <c r="N10" s="111">
        <v>66.099999999999994</v>
      </c>
    </row>
    <row r="11" spans="1:15" ht="60" x14ac:dyDescent="0.25">
      <c r="A11" s="55" t="s">
        <v>66</v>
      </c>
      <c r="B11" s="56" t="s">
        <v>59</v>
      </c>
      <c r="C11" s="109">
        <v>8</v>
      </c>
      <c r="D11" s="106">
        <v>2729</v>
      </c>
      <c r="E11" s="110">
        <v>100</v>
      </c>
      <c r="F11" s="74">
        <v>93.9</v>
      </c>
      <c r="G11" s="110">
        <v>100</v>
      </c>
      <c r="H11" s="74">
        <v>88.3</v>
      </c>
      <c r="I11" s="110">
        <v>100</v>
      </c>
      <c r="J11" s="74">
        <v>89</v>
      </c>
      <c r="K11" s="110">
        <v>87.5</v>
      </c>
      <c r="L11" s="74">
        <v>84.7</v>
      </c>
      <c r="M11" s="110">
        <v>87.5</v>
      </c>
      <c r="N11" s="111">
        <v>64.599999999999994</v>
      </c>
    </row>
    <row r="12" spans="1:15" ht="60" x14ac:dyDescent="0.25">
      <c r="A12" s="55" t="s">
        <v>67</v>
      </c>
      <c r="B12" s="56" t="s">
        <v>68</v>
      </c>
      <c r="C12" s="109">
        <v>165</v>
      </c>
      <c r="D12" s="106">
        <v>11595</v>
      </c>
      <c r="E12" s="110">
        <v>100</v>
      </c>
      <c r="F12" s="22">
        <v>95</v>
      </c>
      <c r="G12" s="110">
        <v>92.1</v>
      </c>
      <c r="H12" s="74">
        <v>91.699999999999989</v>
      </c>
      <c r="I12" s="110">
        <v>80</v>
      </c>
      <c r="J12" s="74">
        <v>87.7</v>
      </c>
      <c r="K12" s="110">
        <v>60.6</v>
      </c>
      <c r="L12" s="74">
        <v>72.900000000000006</v>
      </c>
      <c r="M12" s="110">
        <v>66.7</v>
      </c>
      <c r="N12" s="111">
        <v>69.900000000000006</v>
      </c>
    </row>
    <row r="13" spans="1:15" ht="30" x14ac:dyDescent="0.25">
      <c r="A13" s="96" t="s">
        <v>69</v>
      </c>
      <c r="B13" s="57" t="s">
        <v>70</v>
      </c>
      <c r="C13" s="114">
        <v>47</v>
      </c>
      <c r="D13" s="115">
        <v>6560</v>
      </c>
      <c r="E13" s="118">
        <v>100</v>
      </c>
      <c r="F13" s="191">
        <v>91.5</v>
      </c>
      <c r="G13" s="118">
        <v>93.6</v>
      </c>
      <c r="H13" s="117">
        <v>89.5</v>
      </c>
      <c r="I13" s="118">
        <v>93.6</v>
      </c>
      <c r="J13" s="117">
        <v>85.7</v>
      </c>
      <c r="K13" s="118">
        <v>78.7</v>
      </c>
      <c r="L13" s="117">
        <v>76.900000000000006</v>
      </c>
      <c r="M13" s="118">
        <v>76.599999999999994</v>
      </c>
      <c r="N13" s="119">
        <v>73.400000000000006</v>
      </c>
    </row>
    <row r="14" spans="1:15" ht="57.75" customHeight="1" x14ac:dyDescent="0.25">
      <c r="A14" s="246" t="s">
        <v>51</v>
      </c>
      <c r="B14" s="246" t="s">
        <v>52</v>
      </c>
      <c r="C14" s="248" t="s">
        <v>170</v>
      </c>
      <c r="D14" s="244"/>
      <c r="E14" s="249" t="s">
        <v>16</v>
      </c>
      <c r="F14" s="249"/>
      <c r="G14" s="244" t="s">
        <v>17</v>
      </c>
      <c r="H14" s="244"/>
      <c r="I14" s="244" t="s">
        <v>18</v>
      </c>
      <c r="J14" s="244"/>
      <c r="K14" s="244" t="s">
        <v>19</v>
      </c>
      <c r="L14" s="244"/>
      <c r="M14" s="244" t="s">
        <v>53</v>
      </c>
      <c r="N14" s="245"/>
    </row>
    <row r="15" spans="1:15" x14ac:dyDescent="0.25">
      <c r="A15" s="247"/>
      <c r="B15" s="247"/>
      <c r="C15" s="103" t="s">
        <v>4</v>
      </c>
      <c r="D15" s="104" t="s">
        <v>20</v>
      </c>
      <c r="E15" s="120" t="s">
        <v>4</v>
      </c>
      <c r="F15" s="120" t="s">
        <v>20</v>
      </c>
      <c r="G15" s="104" t="s">
        <v>4</v>
      </c>
      <c r="H15" s="104" t="s">
        <v>20</v>
      </c>
      <c r="I15" s="104" t="s">
        <v>4</v>
      </c>
      <c r="J15" s="104" t="s">
        <v>20</v>
      </c>
      <c r="K15" s="104" t="s">
        <v>4</v>
      </c>
      <c r="L15" s="104" t="s">
        <v>20</v>
      </c>
      <c r="M15" s="104" t="s">
        <v>4</v>
      </c>
      <c r="N15" s="105" t="s">
        <v>20</v>
      </c>
    </row>
    <row r="16" spans="1:15" ht="45" x14ac:dyDescent="0.25">
      <c r="A16" s="55" t="s">
        <v>71</v>
      </c>
      <c r="B16" s="56" t="s">
        <v>70</v>
      </c>
      <c r="C16" s="109">
        <v>23</v>
      </c>
      <c r="D16" s="106">
        <v>6560</v>
      </c>
      <c r="E16" s="110">
        <v>100</v>
      </c>
      <c r="F16" s="113">
        <v>91.5</v>
      </c>
      <c r="G16" s="110">
        <v>91.3</v>
      </c>
      <c r="H16" s="74">
        <v>89.5</v>
      </c>
      <c r="I16" s="110">
        <v>95.7</v>
      </c>
      <c r="J16" s="74">
        <v>85.7</v>
      </c>
      <c r="K16" s="110">
        <v>65.2</v>
      </c>
      <c r="L16" s="74">
        <v>76.900000000000006</v>
      </c>
      <c r="M16" s="110">
        <v>82.6</v>
      </c>
      <c r="N16" s="111">
        <v>73.400000000000006</v>
      </c>
    </row>
    <row r="17" spans="1:15" ht="60" x14ac:dyDescent="0.25">
      <c r="A17" s="55" t="s">
        <v>72</v>
      </c>
      <c r="B17" s="56" t="s">
        <v>73</v>
      </c>
      <c r="C17" s="109">
        <v>80</v>
      </c>
      <c r="D17" s="106">
        <v>8377</v>
      </c>
      <c r="E17" s="112">
        <v>97.5</v>
      </c>
      <c r="F17" s="74">
        <v>94.9</v>
      </c>
      <c r="G17" s="110">
        <v>91</v>
      </c>
      <c r="H17" s="74">
        <v>83.1</v>
      </c>
      <c r="I17" s="110">
        <v>94.9</v>
      </c>
      <c r="J17" s="74">
        <v>87.699999999999989</v>
      </c>
      <c r="K17" s="110">
        <v>85.9</v>
      </c>
      <c r="L17" s="74">
        <f>22.3+58.3</f>
        <v>80.599999999999994</v>
      </c>
      <c r="M17" s="110">
        <v>66.7</v>
      </c>
      <c r="N17" s="111">
        <v>56.8</v>
      </c>
    </row>
    <row r="18" spans="1:15" ht="60" x14ac:dyDescent="0.25">
      <c r="A18" s="55" t="s">
        <v>74</v>
      </c>
      <c r="B18" s="56" t="s">
        <v>64</v>
      </c>
      <c r="C18" s="109">
        <v>15</v>
      </c>
      <c r="D18" s="106">
        <v>4009</v>
      </c>
      <c r="E18" s="112">
        <v>100</v>
      </c>
      <c r="F18" s="74">
        <v>93.9</v>
      </c>
      <c r="G18" s="110">
        <v>86.7</v>
      </c>
      <c r="H18" s="74">
        <v>83.6</v>
      </c>
      <c r="I18" s="110">
        <v>66.7</v>
      </c>
      <c r="J18" s="74">
        <v>84</v>
      </c>
      <c r="K18" s="110">
        <v>73.3</v>
      </c>
      <c r="L18" s="74">
        <v>77.900000000000006</v>
      </c>
      <c r="M18" s="110">
        <v>40</v>
      </c>
      <c r="N18" s="111">
        <v>66.099999999999994</v>
      </c>
      <c r="O18" s="134"/>
    </row>
    <row r="19" spans="1:15" x14ac:dyDescent="0.25">
      <c r="A19" s="55" t="s">
        <v>75</v>
      </c>
      <c r="B19" s="56" t="s">
        <v>76</v>
      </c>
      <c r="C19" s="109">
        <v>19</v>
      </c>
      <c r="D19" s="106">
        <v>1365</v>
      </c>
      <c r="E19" s="112">
        <v>100</v>
      </c>
      <c r="F19" s="74">
        <v>96.6</v>
      </c>
      <c r="G19" s="110">
        <v>89.5</v>
      </c>
      <c r="H19" s="74">
        <f>44.8+47.3</f>
        <v>92.1</v>
      </c>
      <c r="I19" s="110">
        <v>94.7</v>
      </c>
      <c r="J19" s="74">
        <f>22.5+65.8</f>
        <v>88.3</v>
      </c>
      <c r="K19" s="110">
        <v>89.5</v>
      </c>
      <c r="L19" s="74">
        <f>30.2+47</f>
        <v>77.2</v>
      </c>
      <c r="M19" s="110">
        <v>73.7</v>
      </c>
      <c r="N19" s="111">
        <v>79.5</v>
      </c>
    </row>
    <row r="20" spans="1:15" ht="120" x14ac:dyDescent="0.25">
      <c r="A20" s="55" t="s">
        <v>77</v>
      </c>
      <c r="B20" s="56" t="s">
        <v>64</v>
      </c>
      <c r="C20" s="122">
        <v>8</v>
      </c>
      <c r="D20" s="106">
        <v>4009</v>
      </c>
      <c r="E20" s="112">
        <v>100</v>
      </c>
      <c r="F20" s="74">
        <v>93.9</v>
      </c>
      <c r="G20" s="110">
        <v>87.5</v>
      </c>
      <c r="H20" s="74">
        <v>83.6</v>
      </c>
      <c r="I20" s="110">
        <v>87.5</v>
      </c>
      <c r="J20" s="74">
        <v>84</v>
      </c>
      <c r="K20" s="110">
        <v>100</v>
      </c>
      <c r="L20" s="74">
        <v>77.900000000000006</v>
      </c>
      <c r="M20" s="110">
        <v>37.5</v>
      </c>
      <c r="N20" s="111">
        <v>66.099999999999994</v>
      </c>
    </row>
    <row r="21" spans="1:15" ht="60" x14ac:dyDescent="0.25">
      <c r="A21" s="55" t="s">
        <v>78</v>
      </c>
      <c r="B21" s="56" t="s">
        <v>68</v>
      </c>
      <c r="C21" s="109">
        <v>16</v>
      </c>
      <c r="D21" s="106">
        <v>11595</v>
      </c>
      <c r="E21" s="112">
        <v>100</v>
      </c>
      <c r="F21" s="22">
        <v>95</v>
      </c>
      <c r="G21" s="110">
        <v>87.5</v>
      </c>
      <c r="H21" s="74">
        <v>91.699999999999989</v>
      </c>
      <c r="I21" s="110">
        <v>87.5</v>
      </c>
      <c r="J21" s="74">
        <v>87.7</v>
      </c>
      <c r="K21" s="110">
        <v>93.8</v>
      </c>
      <c r="L21" s="74">
        <f>22.3+58.3</f>
        <v>80.599999999999994</v>
      </c>
      <c r="M21" s="110">
        <v>68.8</v>
      </c>
      <c r="N21" s="111">
        <v>56.8</v>
      </c>
    </row>
    <row r="22" spans="1:15" ht="30" x14ac:dyDescent="0.25">
      <c r="A22" s="55" t="s">
        <v>79</v>
      </c>
      <c r="B22" s="56" t="s">
        <v>80</v>
      </c>
      <c r="C22" s="109">
        <v>21</v>
      </c>
      <c r="D22" s="106">
        <v>1255</v>
      </c>
      <c r="E22" s="110">
        <v>100</v>
      </c>
      <c r="F22" s="22">
        <v>96</v>
      </c>
      <c r="G22" s="110">
        <v>95.2</v>
      </c>
      <c r="H22" s="74">
        <f>36.9+52.1</f>
        <v>89</v>
      </c>
      <c r="I22" s="110">
        <v>100</v>
      </c>
      <c r="J22" s="74">
        <f>23+66.9</f>
        <v>89.9</v>
      </c>
      <c r="K22" s="110">
        <v>90.5</v>
      </c>
      <c r="L22" s="74">
        <f>25.4+54.3</f>
        <v>79.699999999999989</v>
      </c>
      <c r="M22" s="110">
        <v>85.7</v>
      </c>
      <c r="N22" s="111">
        <v>65.099999999999994</v>
      </c>
    </row>
    <row r="23" spans="1:15" x14ac:dyDescent="0.25">
      <c r="A23" s="55" t="s">
        <v>81</v>
      </c>
      <c r="B23" s="56" t="s">
        <v>82</v>
      </c>
      <c r="C23" s="109">
        <v>64</v>
      </c>
      <c r="D23" s="106">
        <v>4134</v>
      </c>
      <c r="E23" s="110">
        <v>100</v>
      </c>
      <c r="F23" s="74">
        <v>95.1</v>
      </c>
      <c r="G23" s="110">
        <v>90.6</v>
      </c>
      <c r="H23" s="74">
        <v>90.9</v>
      </c>
      <c r="I23" s="110">
        <v>89.1</v>
      </c>
      <c r="J23" s="74">
        <v>86.5</v>
      </c>
      <c r="K23" s="110">
        <v>81.3</v>
      </c>
      <c r="L23" s="74">
        <v>76.8</v>
      </c>
      <c r="M23" s="110">
        <v>78.099999999999994</v>
      </c>
      <c r="N23" s="111">
        <v>69</v>
      </c>
    </row>
    <row r="24" spans="1:15" x14ac:dyDescent="0.25">
      <c r="A24" s="55" t="s">
        <v>83</v>
      </c>
      <c r="B24" s="56" t="s">
        <v>84</v>
      </c>
      <c r="C24" s="109">
        <v>30</v>
      </c>
      <c r="D24" s="106">
        <v>1913</v>
      </c>
      <c r="E24" s="110">
        <v>100</v>
      </c>
      <c r="F24" s="74">
        <v>96.7</v>
      </c>
      <c r="G24" s="110">
        <v>96.7</v>
      </c>
      <c r="H24" s="74">
        <v>94.1</v>
      </c>
      <c r="I24" s="110">
        <v>90</v>
      </c>
      <c r="J24" s="74">
        <v>90.9</v>
      </c>
      <c r="K24" s="110">
        <v>86.7</v>
      </c>
      <c r="L24" s="74">
        <v>79.3</v>
      </c>
      <c r="M24" s="110">
        <v>76.7</v>
      </c>
      <c r="N24" s="111">
        <v>80</v>
      </c>
    </row>
    <row r="25" spans="1:15" x14ac:dyDescent="0.25">
      <c r="A25" s="55" t="s">
        <v>157</v>
      </c>
      <c r="B25" s="56" t="s">
        <v>65</v>
      </c>
      <c r="C25" s="109">
        <v>8</v>
      </c>
      <c r="D25" s="106">
        <v>823</v>
      </c>
      <c r="E25" s="110">
        <v>100</v>
      </c>
      <c r="F25" s="74">
        <v>94.4</v>
      </c>
      <c r="G25" s="110">
        <v>87.5</v>
      </c>
      <c r="H25" s="74">
        <v>91.300000000000011</v>
      </c>
      <c r="I25" s="110">
        <v>87.5</v>
      </c>
      <c r="J25" s="74">
        <v>90.6</v>
      </c>
      <c r="K25" s="110">
        <v>75</v>
      </c>
      <c r="L25" s="74">
        <v>86.9</v>
      </c>
      <c r="M25" s="110">
        <v>75</v>
      </c>
      <c r="N25" s="111">
        <v>75.2</v>
      </c>
    </row>
    <row r="26" spans="1:15" ht="30" x14ac:dyDescent="0.25">
      <c r="A26" s="96" t="s">
        <v>85</v>
      </c>
      <c r="B26" s="57" t="s">
        <v>86</v>
      </c>
      <c r="C26" s="114">
        <v>42</v>
      </c>
      <c r="D26" s="115">
        <v>2470</v>
      </c>
      <c r="E26" s="118">
        <v>100</v>
      </c>
      <c r="F26" s="117">
        <v>92.7</v>
      </c>
      <c r="G26" s="118">
        <v>92.9</v>
      </c>
      <c r="H26" s="117">
        <v>93.4</v>
      </c>
      <c r="I26" s="118">
        <v>95.2</v>
      </c>
      <c r="J26" s="117">
        <v>91.1</v>
      </c>
      <c r="K26" s="118">
        <v>92.9</v>
      </c>
      <c r="L26" s="117">
        <v>88.699999999999989</v>
      </c>
      <c r="M26" s="118">
        <v>88.1</v>
      </c>
      <c r="N26" s="119">
        <v>73.099999999999994</v>
      </c>
    </row>
    <row r="27" spans="1:15" ht="57.75" customHeight="1" x14ac:dyDescent="0.25">
      <c r="A27" s="246" t="s">
        <v>51</v>
      </c>
      <c r="B27" s="246" t="s">
        <v>52</v>
      </c>
      <c r="C27" s="248" t="s">
        <v>170</v>
      </c>
      <c r="D27" s="244"/>
      <c r="E27" s="249" t="s">
        <v>16</v>
      </c>
      <c r="F27" s="249"/>
      <c r="G27" s="244" t="s">
        <v>17</v>
      </c>
      <c r="H27" s="244"/>
      <c r="I27" s="244" t="s">
        <v>18</v>
      </c>
      <c r="J27" s="244"/>
      <c r="K27" s="244" t="s">
        <v>19</v>
      </c>
      <c r="L27" s="244"/>
      <c r="M27" s="244" t="s">
        <v>53</v>
      </c>
      <c r="N27" s="245"/>
    </row>
    <row r="28" spans="1:15" x14ac:dyDescent="0.25">
      <c r="A28" s="247"/>
      <c r="B28" s="247"/>
      <c r="C28" s="103" t="s">
        <v>4</v>
      </c>
      <c r="D28" s="104" t="s">
        <v>20</v>
      </c>
      <c r="E28" s="120" t="s">
        <v>4</v>
      </c>
      <c r="F28" s="120" t="s">
        <v>20</v>
      </c>
      <c r="G28" s="104" t="s">
        <v>4</v>
      </c>
      <c r="H28" s="104" t="s">
        <v>20</v>
      </c>
      <c r="I28" s="104" t="s">
        <v>4</v>
      </c>
      <c r="J28" s="104" t="s">
        <v>20</v>
      </c>
      <c r="K28" s="104" t="s">
        <v>4</v>
      </c>
      <c r="L28" s="104" t="s">
        <v>20</v>
      </c>
      <c r="M28" s="104" t="s">
        <v>4</v>
      </c>
      <c r="N28" s="105" t="s">
        <v>20</v>
      </c>
    </row>
    <row r="29" spans="1:15" ht="30" x14ac:dyDescent="0.25">
      <c r="A29" s="55" t="s">
        <v>87</v>
      </c>
      <c r="B29" s="56" t="s">
        <v>88</v>
      </c>
      <c r="C29" s="109">
        <v>66</v>
      </c>
      <c r="D29" s="106">
        <v>6175</v>
      </c>
      <c r="E29" s="110">
        <v>100</v>
      </c>
      <c r="F29" s="22">
        <v>94.4</v>
      </c>
      <c r="G29" s="110">
        <v>87.9</v>
      </c>
      <c r="H29" s="22">
        <v>87</v>
      </c>
      <c r="I29" s="110">
        <v>89.4</v>
      </c>
      <c r="J29" s="74">
        <v>89.5</v>
      </c>
      <c r="K29" s="110">
        <v>92.4</v>
      </c>
      <c r="L29" s="74">
        <v>89.6</v>
      </c>
      <c r="M29" s="110">
        <v>65.2</v>
      </c>
      <c r="N29" s="111">
        <v>64.2</v>
      </c>
    </row>
    <row r="30" spans="1:15" ht="45" x14ac:dyDescent="0.25">
      <c r="A30" s="55" t="s">
        <v>89</v>
      </c>
      <c r="B30" s="56" t="s">
        <v>90</v>
      </c>
      <c r="C30" s="109">
        <v>81</v>
      </c>
      <c r="D30" s="106">
        <v>7532</v>
      </c>
      <c r="E30" s="112">
        <v>96.3</v>
      </c>
      <c r="F30" s="74">
        <v>93</v>
      </c>
      <c r="G30" s="110">
        <v>94.9</v>
      </c>
      <c r="H30" s="74">
        <v>92.699999999999989</v>
      </c>
      <c r="I30" s="110">
        <v>98.7</v>
      </c>
      <c r="J30" s="74">
        <v>90.3</v>
      </c>
      <c r="K30" s="110">
        <v>98.7</v>
      </c>
      <c r="L30" s="74">
        <v>90.699999999999989</v>
      </c>
      <c r="M30" s="110">
        <v>87.2</v>
      </c>
      <c r="N30" s="111">
        <v>72.099999999999994</v>
      </c>
    </row>
    <row r="31" spans="1:15" ht="30" x14ac:dyDescent="0.25">
      <c r="A31" s="55" t="s">
        <v>91</v>
      </c>
      <c r="B31" s="56" t="s">
        <v>92</v>
      </c>
      <c r="C31" s="109">
        <v>151</v>
      </c>
      <c r="D31" s="106">
        <v>5987</v>
      </c>
      <c r="E31" s="112">
        <v>94</v>
      </c>
      <c r="F31" s="74">
        <v>94.2</v>
      </c>
      <c r="G31" s="110">
        <v>92.3</v>
      </c>
      <c r="H31" s="74">
        <v>88</v>
      </c>
      <c r="I31" s="110">
        <v>91.5</v>
      </c>
      <c r="J31" s="74">
        <v>82.6</v>
      </c>
      <c r="K31" s="110">
        <v>93.7</v>
      </c>
      <c r="L31" s="74">
        <v>83.9</v>
      </c>
      <c r="M31" s="110">
        <v>81.7</v>
      </c>
      <c r="N31" s="111">
        <v>66</v>
      </c>
    </row>
    <row r="32" spans="1:15" x14ac:dyDescent="0.25">
      <c r="A32" s="55" t="s">
        <v>93</v>
      </c>
      <c r="B32" s="56" t="s">
        <v>94</v>
      </c>
      <c r="C32" s="109">
        <v>72</v>
      </c>
      <c r="D32" s="106">
        <v>5486</v>
      </c>
      <c r="E32" s="112">
        <v>95.8</v>
      </c>
      <c r="F32" s="74">
        <v>91.4</v>
      </c>
      <c r="G32" s="110">
        <v>87</v>
      </c>
      <c r="H32" s="74">
        <f>36.6+52.9</f>
        <v>89.5</v>
      </c>
      <c r="I32" s="110">
        <v>95.7</v>
      </c>
      <c r="J32" s="74">
        <f>21+66.1</f>
        <v>87.1</v>
      </c>
      <c r="K32" s="110">
        <v>92.8</v>
      </c>
      <c r="L32" s="22">
        <f>31.8+55.7</f>
        <v>87.5</v>
      </c>
      <c r="M32" s="110">
        <v>71</v>
      </c>
      <c r="N32" s="111">
        <v>63.8</v>
      </c>
    </row>
    <row r="33" spans="1:15" ht="45" x14ac:dyDescent="0.25">
      <c r="A33" s="58" t="s">
        <v>95</v>
      </c>
      <c r="B33" s="58" t="s">
        <v>96</v>
      </c>
      <c r="C33" s="109">
        <v>42</v>
      </c>
      <c r="D33" s="106">
        <v>3023</v>
      </c>
      <c r="E33" s="112">
        <v>100</v>
      </c>
      <c r="F33" s="74">
        <v>94.5</v>
      </c>
      <c r="G33" s="110">
        <v>100</v>
      </c>
      <c r="H33" s="74">
        <v>89.6</v>
      </c>
      <c r="I33" s="110">
        <v>92.9</v>
      </c>
      <c r="J33" s="74">
        <v>89.9</v>
      </c>
      <c r="K33" s="110">
        <v>97.6</v>
      </c>
      <c r="L33" s="74">
        <v>84.9</v>
      </c>
      <c r="M33" s="110">
        <v>78.599999999999994</v>
      </c>
      <c r="N33" s="111">
        <v>66.8</v>
      </c>
    </row>
    <row r="34" spans="1:15" ht="30" x14ac:dyDescent="0.25">
      <c r="A34" s="55" t="s">
        <v>97</v>
      </c>
      <c r="B34" s="56" t="s">
        <v>98</v>
      </c>
      <c r="C34" s="109">
        <v>129</v>
      </c>
      <c r="D34" s="106">
        <v>5157</v>
      </c>
      <c r="E34" s="112">
        <v>97.7</v>
      </c>
      <c r="F34" s="74">
        <v>93.9</v>
      </c>
      <c r="G34" s="110">
        <v>90.5</v>
      </c>
      <c r="H34" s="74">
        <v>89.7</v>
      </c>
      <c r="I34" s="110">
        <v>93.7</v>
      </c>
      <c r="J34" s="74">
        <v>88.399999999999991</v>
      </c>
      <c r="K34" s="110">
        <v>86.5</v>
      </c>
      <c r="L34" s="74">
        <v>80.900000000000006</v>
      </c>
      <c r="M34" s="110">
        <v>74.599999999999994</v>
      </c>
      <c r="N34" s="111">
        <v>70.599999999999994</v>
      </c>
    </row>
    <row r="35" spans="1:15" ht="150" x14ac:dyDescent="0.25">
      <c r="A35" s="96" t="s">
        <v>99</v>
      </c>
      <c r="B35" s="57" t="s">
        <v>100</v>
      </c>
      <c r="C35" s="129">
        <v>16</v>
      </c>
      <c r="D35" s="115">
        <v>626</v>
      </c>
      <c r="E35" s="192">
        <v>100</v>
      </c>
      <c r="F35" s="117">
        <v>96.2</v>
      </c>
      <c r="G35" s="118">
        <v>100</v>
      </c>
      <c r="H35" s="117">
        <v>89.2</v>
      </c>
      <c r="I35" s="118">
        <v>75</v>
      </c>
      <c r="J35" s="117">
        <v>92.5</v>
      </c>
      <c r="K35" s="118">
        <v>87.5</v>
      </c>
      <c r="L35" s="117">
        <v>85.699999999999989</v>
      </c>
      <c r="M35" s="118">
        <v>68.8</v>
      </c>
      <c r="N35" s="119">
        <v>64.099999999999994</v>
      </c>
    </row>
    <row r="36" spans="1:15" ht="105.75" customHeight="1" x14ac:dyDescent="0.25">
      <c r="A36" s="246" t="s">
        <v>51</v>
      </c>
      <c r="B36" s="246" t="s">
        <v>52</v>
      </c>
      <c r="C36" s="248" t="s">
        <v>170</v>
      </c>
      <c r="D36" s="244"/>
      <c r="E36" s="249" t="s">
        <v>16</v>
      </c>
      <c r="F36" s="249"/>
      <c r="G36" s="244" t="s">
        <v>17</v>
      </c>
      <c r="H36" s="244"/>
      <c r="I36" s="244" t="s">
        <v>18</v>
      </c>
      <c r="J36" s="244"/>
      <c r="K36" s="244" t="s">
        <v>19</v>
      </c>
      <c r="L36" s="244"/>
      <c r="M36" s="244" t="s">
        <v>53</v>
      </c>
      <c r="N36" s="245"/>
    </row>
    <row r="37" spans="1:15" x14ac:dyDescent="0.25">
      <c r="A37" s="247"/>
      <c r="B37" s="247"/>
      <c r="C37" s="103" t="s">
        <v>4</v>
      </c>
      <c r="D37" s="104" t="s">
        <v>20</v>
      </c>
      <c r="E37" s="120" t="s">
        <v>4</v>
      </c>
      <c r="F37" s="120" t="s">
        <v>20</v>
      </c>
      <c r="G37" s="104" t="s">
        <v>4</v>
      </c>
      <c r="H37" s="104" t="s">
        <v>20</v>
      </c>
      <c r="I37" s="104" t="s">
        <v>4</v>
      </c>
      <c r="J37" s="104" t="s">
        <v>20</v>
      </c>
      <c r="K37" s="104" t="s">
        <v>4</v>
      </c>
      <c r="L37" s="104" t="s">
        <v>20</v>
      </c>
      <c r="M37" s="104" t="s">
        <v>4</v>
      </c>
      <c r="N37" s="105" t="s">
        <v>20</v>
      </c>
    </row>
    <row r="38" spans="1:15" ht="180" x14ac:dyDescent="0.25">
      <c r="A38" s="55" t="s">
        <v>101</v>
      </c>
      <c r="B38" s="56" t="s">
        <v>59</v>
      </c>
      <c r="C38" s="109">
        <v>6</v>
      </c>
      <c r="D38" s="106">
        <v>2729</v>
      </c>
      <c r="E38" s="110">
        <v>83.3</v>
      </c>
      <c r="F38" s="74">
        <v>93.9</v>
      </c>
      <c r="G38" s="110">
        <v>60</v>
      </c>
      <c r="H38" s="74">
        <v>88.3</v>
      </c>
      <c r="I38" s="110">
        <v>60</v>
      </c>
      <c r="J38" s="74">
        <v>89</v>
      </c>
      <c r="K38" s="110">
        <v>100</v>
      </c>
      <c r="L38" s="74">
        <v>84.7</v>
      </c>
      <c r="M38" s="110">
        <v>20</v>
      </c>
      <c r="N38" s="111">
        <v>64.599999999999994</v>
      </c>
    </row>
    <row r="39" spans="1:15" ht="120" x14ac:dyDescent="0.25">
      <c r="A39" s="55" t="s">
        <v>102</v>
      </c>
      <c r="B39" s="56" t="s">
        <v>59</v>
      </c>
      <c r="C39" s="109">
        <v>16</v>
      </c>
      <c r="D39" s="106">
        <v>2729</v>
      </c>
      <c r="E39" s="110">
        <v>100</v>
      </c>
      <c r="F39" s="74">
        <v>93.9</v>
      </c>
      <c r="G39" s="110">
        <v>81.3</v>
      </c>
      <c r="H39" s="74">
        <v>88.3</v>
      </c>
      <c r="I39" s="110">
        <v>100</v>
      </c>
      <c r="J39" s="74">
        <v>89</v>
      </c>
      <c r="K39" s="110">
        <v>93.8</v>
      </c>
      <c r="L39" s="74">
        <v>84.7</v>
      </c>
      <c r="M39" s="110">
        <v>62.5</v>
      </c>
      <c r="N39" s="111">
        <v>64.599999999999994</v>
      </c>
    </row>
    <row r="40" spans="1:15" ht="120" x14ac:dyDescent="0.25">
      <c r="A40" s="96" t="s">
        <v>160</v>
      </c>
      <c r="B40" s="57" t="s">
        <v>59</v>
      </c>
      <c r="C40" s="114">
        <v>10</v>
      </c>
      <c r="D40" s="115">
        <v>2729</v>
      </c>
      <c r="E40" s="118">
        <v>100</v>
      </c>
      <c r="F40" s="117">
        <v>93.9</v>
      </c>
      <c r="G40" s="118">
        <v>80</v>
      </c>
      <c r="H40" s="117">
        <v>88.3</v>
      </c>
      <c r="I40" s="118">
        <v>100</v>
      </c>
      <c r="J40" s="117">
        <v>89</v>
      </c>
      <c r="K40" s="118">
        <v>80</v>
      </c>
      <c r="L40" s="117">
        <v>84.7</v>
      </c>
      <c r="M40" s="118">
        <v>80</v>
      </c>
      <c r="N40" s="119">
        <v>64.599999999999994</v>
      </c>
      <c r="O40" s="134"/>
    </row>
    <row r="41" spans="1:15" ht="76.5" customHeight="1" x14ac:dyDescent="0.25">
      <c r="A41" s="246" t="s">
        <v>51</v>
      </c>
      <c r="B41" s="246" t="s">
        <v>52</v>
      </c>
      <c r="C41" s="248" t="s">
        <v>170</v>
      </c>
      <c r="D41" s="244"/>
      <c r="E41" s="249" t="s">
        <v>16</v>
      </c>
      <c r="F41" s="249"/>
      <c r="G41" s="244" t="s">
        <v>17</v>
      </c>
      <c r="H41" s="244"/>
      <c r="I41" s="244" t="s">
        <v>18</v>
      </c>
      <c r="J41" s="244"/>
      <c r="K41" s="244" t="s">
        <v>19</v>
      </c>
      <c r="L41" s="244"/>
      <c r="M41" s="244" t="s">
        <v>53</v>
      </c>
      <c r="N41" s="245"/>
    </row>
    <row r="42" spans="1:15" x14ac:dyDescent="0.25">
      <c r="A42" s="247"/>
      <c r="B42" s="247"/>
      <c r="C42" s="103" t="s">
        <v>4</v>
      </c>
      <c r="D42" s="104" t="s">
        <v>20</v>
      </c>
      <c r="E42" s="120" t="s">
        <v>4</v>
      </c>
      <c r="F42" s="120" t="s">
        <v>20</v>
      </c>
      <c r="G42" s="104" t="s">
        <v>4</v>
      </c>
      <c r="H42" s="104" t="s">
        <v>20</v>
      </c>
      <c r="I42" s="104" t="s">
        <v>4</v>
      </c>
      <c r="J42" s="104" t="s">
        <v>20</v>
      </c>
      <c r="K42" s="104" t="s">
        <v>4</v>
      </c>
      <c r="L42" s="104" t="s">
        <v>20</v>
      </c>
      <c r="M42" s="104" t="s">
        <v>4</v>
      </c>
      <c r="N42" s="105" t="s">
        <v>20</v>
      </c>
    </row>
    <row r="43" spans="1:15" ht="45" x14ac:dyDescent="0.25">
      <c r="A43" s="53" t="s">
        <v>103</v>
      </c>
      <c r="B43" s="54" t="s">
        <v>104</v>
      </c>
      <c r="C43" s="121">
        <v>12</v>
      </c>
      <c r="D43" s="106">
        <v>248</v>
      </c>
      <c r="E43" s="107">
        <v>100</v>
      </c>
      <c r="F43" s="74">
        <v>89.1</v>
      </c>
      <c r="G43" s="107">
        <v>83.4</v>
      </c>
      <c r="H43" s="74">
        <v>90.9</v>
      </c>
      <c r="I43" s="107">
        <v>100</v>
      </c>
      <c r="J43" s="74">
        <v>92.7</v>
      </c>
      <c r="K43" s="107">
        <v>83.4</v>
      </c>
      <c r="L43" s="74">
        <v>90</v>
      </c>
      <c r="M43" s="107">
        <v>66.7</v>
      </c>
      <c r="N43" s="108">
        <v>72.900000000000006</v>
      </c>
    </row>
    <row r="44" spans="1:15" ht="30.75" customHeight="1" x14ac:dyDescent="0.25">
      <c r="A44" s="55" t="s">
        <v>161</v>
      </c>
      <c r="B44" s="56" t="s">
        <v>132</v>
      </c>
      <c r="C44" s="122">
        <v>10</v>
      </c>
      <c r="D44" s="106">
        <v>1036</v>
      </c>
      <c r="E44" s="110">
        <v>90</v>
      </c>
      <c r="F44" s="74">
        <v>91.7</v>
      </c>
      <c r="G44" s="110">
        <v>100</v>
      </c>
      <c r="H44" s="74">
        <v>94.9</v>
      </c>
      <c r="I44" s="110">
        <v>100</v>
      </c>
      <c r="J44" s="74">
        <v>93.5</v>
      </c>
      <c r="K44" s="110">
        <v>88.9</v>
      </c>
      <c r="L44" s="74">
        <v>88.1</v>
      </c>
      <c r="M44" s="110">
        <v>88.9</v>
      </c>
      <c r="N44" s="111">
        <v>83.4</v>
      </c>
    </row>
    <row r="45" spans="1:15" x14ac:dyDescent="0.25">
      <c r="A45" s="55" t="s">
        <v>105</v>
      </c>
      <c r="B45" s="56" t="s">
        <v>106</v>
      </c>
      <c r="C45" s="109">
        <v>13</v>
      </c>
      <c r="D45" s="106">
        <v>798</v>
      </c>
      <c r="E45" s="110">
        <v>100</v>
      </c>
      <c r="F45" s="74">
        <v>90.1</v>
      </c>
      <c r="G45" s="110">
        <v>100</v>
      </c>
      <c r="H45" s="74">
        <v>90.7</v>
      </c>
      <c r="I45" s="110">
        <v>100</v>
      </c>
      <c r="J45" s="74">
        <v>92.4</v>
      </c>
      <c r="K45" s="110">
        <v>100</v>
      </c>
      <c r="L45" s="74">
        <v>92.8</v>
      </c>
      <c r="M45" s="110">
        <v>92.3</v>
      </c>
      <c r="N45" s="111">
        <v>75.7</v>
      </c>
    </row>
    <row r="46" spans="1:15" x14ac:dyDescent="0.25">
      <c r="A46" s="55" t="s">
        <v>158</v>
      </c>
      <c r="B46" s="56" t="s">
        <v>107</v>
      </c>
      <c r="C46" s="109">
        <v>36</v>
      </c>
      <c r="D46" s="106">
        <v>3253</v>
      </c>
      <c r="E46" s="110">
        <v>97.2</v>
      </c>
      <c r="F46" s="74">
        <v>93.2</v>
      </c>
      <c r="G46" s="110">
        <v>97.1</v>
      </c>
      <c r="H46" s="74">
        <v>90.7</v>
      </c>
      <c r="I46" s="110">
        <v>100</v>
      </c>
      <c r="J46" s="74">
        <v>93</v>
      </c>
      <c r="K46" s="110">
        <v>97.1</v>
      </c>
      <c r="L46" s="74">
        <v>87</v>
      </c>
      <c r="M46" s="110">
        <v>91.4</v>
      </c>
      <c r="N46" s="111">
        <v>76.5</v>
      </c>
    </row>
    <row r="47" spans="1:15" x14ac:dyDescent="0.25">
      <c r="A47" s="55" t="s">
        <v>108</v>
      </c>
      <c r="B47" s="56" t="s">
        <v>107</v>
      </c>
      <c r="C47" s="109">
        <v>60</v>
      </c>
      <c r="D47" s="106">
        <v>3253</v>
      </c>
      <c r="E47" s="110">
        <v>100</v>
      </c>
      <c r="F47" s="74">
        <v>93.2</v>
      </c>
      <c r="G47" s="110">
        <v>95</v>
      </c>
      <c r="H47" s="74">
        <v>90.7</v>
      </c>
      <c r="I47" s="110">
        <v>98.3</v>
      </c>
      <c r="J47" s="74">
        <v>93</v>
      </c>
      <c r="K47" s="110">
        <v>85</v>
      </c>
      <c r="L47" s="74">
        <v>87</v>
      </c>
      <c r="M47" s="110">
        <v>81.7</v>
      </c>
      <c r="N47" s="111">
        <v>76.5</v>
      </c>
    </row>
    <row r="48" spans="1:15" x14ac:dyDescent="0.25">
      <c r="A48" s="55" t="s">
        <v>109</v>
      </c>
      <c r="B48" s="56" t="s">
        <v>110</v>
      </c>
      <c r="C48" s="109">
        <v>10</v>
      </c>
      <c r="D48" s="123">
        <v>985</v>
      </c>
      <c r="E48" s="124">
        <v>90</v>
      </c>
      <c r="F48" s="74">
        <v>92.6</v>
      </c>
      <c r="G48" s="124">
        <v>88.9</v>
      </c>
      <c r="H48" s="74">
        <v>93.3</v>
      </c>
      <c r="I48" s="124">
        <v>88.9</v>
      </c>
      <c r="J48" s="74">
        <v>95.4</v>
      </c>
      <c r="K48" s="110">
        <v>100</v>
      </c>
      <c r="L48" s="74">
        <v>87.3</v>
      </c>
      <c r="M48" s="125">
        <v>77.8</v>
      </c>
      <c r="N48" s="111">
        <v>80.900000000000006</v>
      </c>
    </row>
    <row r="49" spans="1:14" ht="90" x14ac:dyDescent="0.25">
      <c r="A49" s="55" t="s">
        <v>111</v>
      </c>
      <c r="B49" s="56" t="s">
        <v>112</v>
      </c>
      <c r="C49" s="109">
        <v>16</v>
      </c>
      <c r="D49" s="106">
        <v>1418</v>
      </c>
      <c r="E49" s="110">
        <v>100</v>
      </c>
      <c r="F49" s="74">
        <v>87.8</v>
      </c>
      <c r="G49" s="110">
        <v>93.8</v>
      </c>
      <c r="H49" s="74">
        <v>93.5</v>
      </c>
      <c r="I49" s="110">
        <v>100</v>
      </c>
      <c r="J49" s="74">
        <v>91.8</v>
      </c>
      <c r="K49" s="110">
        <v>75</v>
      </c>
      <c r="L49" s="74">
        <v>86</v>
      </c>
      <c r="M49" s="110">
        <v>75</v>
      </c>
      <c r="N49" s="111">
        <v>81.400000000000006</v>
      </c>
    </row>
    <row r="50" spans="1:14" ht="45" x14ac:dyDescent="0.25">
      <c r="A50" s="55" t="s">
        <v>113</v>
      </c>
      <c r="B50" s="56" t="s">
        <v>114</v>
      </c>
      <c r="C50" s="109">
        <v>65</v>
      </c>
      <c r="D50" s="106">
        <v>11135</v>
      </c>
      <c r="E50" s="110">
        <v>95.4</v>
      </c>
      <c r="F50" s="74">
        <v>89.7</v>
      </c>
      <c r="G50" s="110">
        <v>88.7</v>
      </c>
      <c r="H50" s="74">
        <v>92.3</v>
      </c>
      <c r="I50" s="110">
        <v>77.400000000000006</v>
      </c>
      <c r="J50" s="74">
        <v>88.9</v>
      </c>
      <c r="K50" s="110">
        <v>88.7</v>
      </c>
      <c r="L50" s="74">
        <v>90.8</v>
      </c>
      <c r="M50" s="110">
        <v>64.5</v>
      </c>
      <c r="N50" s="111">
        <v>77.5</v>
      </c>
    </row>
    <row r="51" spans="1:14" x14ac:dyDescent="0.25">
      <c r="A51" s="55" t="s">
        <v>115</v>
      </c>
      <c r="B51" s="56" t="s">
        <v>116</v>
      </c>
      <c r="C51" s="109">
        <v>27</v>
      </c>
      <c r="D51" s="106">
        <v>2507</v>
      </c>
      <c r="E51" s="110">
        <v>100</v>
      </c>
      <c r="F51" s="74">
        <v>89.1</v>
      </c>
      <c r="G51" s="110">
        <v>85.2</v>
      </c>
      <c r="H51" s="74">
        <v>91.9</v>
      </c>
      <c r="I51" s="110">
        <v>70.400000000000006</v>
      </c>
      <c r="J51" s="74">
        <v>90</v>
      </c>
      <c r="K51" s="110">
        <v>88.9</v>
      </c>
      <c r="L51" s="74">
        <v>90.6</v>
      </c>
      <c r="M51" s="110">
        <v>59.3</v>
      </c>
      <c r="N51" s="111">
        <v>71.599999999999994</v>
      </c>
    </row>
    <row r="52" spans="1:14" ht="45" x14ac:dyDescent="0.25">
      <c r="A52" s="55" t="s">
        <v>117</v>
      </c>
      <c r="B52" s="56" t="s">
        <v>118</v>
      </c>
      <c r="C52" s="109">
        <v>15</v>
      </c>
      <c r="D52" s="106">
        <v>390</v>
      </c>
      <c r="E52" s="110">
        <v>100</v>
      </c>
      <c r="F52" s="74">
        <v>89.7</v>
      </c>
      <c r="G52" s="110">
        <v>100</v>
      </c>
      <c r="H52" s="74">
        <v>90.6</v>
      </c>
      <c r="I52" s="110">
        <v>100</v>
      </c>
      <c r="J52" s="74">
        <v>94</v>
      </c>
      <c r="K52" s="110">
        <v>93.3</v>
      </c>
      <c r="L52" s="74">
        <v>93.1</v>
      </c>
      <c r="M52" s="110">
        <v>93.3</v>
      </c>
      <c r="N52" s="111">
        <v>72</v>
      </c>
    </row>
    <row r="53" spans="1:14" ht="90" x14ac:dyDescent="0.25">
      <c r="A53" s="55" t="s">
        <v>119</v>
      </c>
      <c r="B53" s="56" t="s">
        <v>120</v>
      </c>
      <c r="C53" s="109">
        <v>5</v>
      </c>
      <c r="D53" s="106">
        <v>424</v>
      </c>
      <c r="E53" s="110">
        <v>100</v>
      </c>
      <c r="F53" s="74">
        <v>91.5</v>
      </c>
      <c r="G53" s="110">
        <v>100</v>
      </c>
      <c r="H53" s="74">
        <v>94.9</v>
      </c>
      <c r="I53" s="110">
        <v>100</v>
      </c>
      <c r="J53" s="74">
        <v>96.7</v>
      </c>
      <c r="K53" s="110">
        <v>100</v>
      </c>
      <c r="L53" s="74">
        <v>91</v>
      </c>
      <c r="M53" s="110">
        <v>60</v>
      </c>
      <c r="N53" s="111">
        <v>83</v>
      </c>
    </row>
    <row r="54" spans="1:14" x14ac:dyDescent="0.25">
      <c r="A54" s="96" t="s">
        <v>121</v>
      </c>
      <c r="B54" s="57" t="s">
        <v>122</v>
      </c>
      <c r="C54" s="114">
        <v>41</v>
      </c>
      <c r="D54" s="115">
        <v>839</v>
      </c>
      <c r="E54" s="118">
        <v>90.2</v>
      </c>
      <c r="F54" s="117">
        <v>90.1</v>
      </c>
      <c r="G54" s="118">
        <v>97.3</v>
      </c>
      <c r="H54" s="117">
        <v>92.3</v>
      </c>
      <c r="I54" s="118">
        <v>91.9</v>
      </c>
      <c r="J54" s="117">
        <v>85.7</v>
      </c>
      <c r="K54" s="118">
        <v>83.8</v>
      </c>
      <c r="L54" s="117">
        <v>84.1</v>
      </c>
      <c r="M54" s="118">
        <v>70.3</v>
      </c>
      <c r="N54" s="119">
        <v>72.8</v>
      </c>
    </row>
    <row r="55" spans="1:14" ht="76.5" customHeight="1" x14ac:dyDescent="0.25">
      <c r="A55" s="246" t="s">
        <v>51</v>
      </c>
      <c r="B55" s="246" t="s">
        <v>52</v>
      </c>
      <c r="C55" s="248" t="s">
        <v>170</v>
      </c>
      <c r="D55" s="244"/>
      <c r="E55" s="249" t="s">
        <v>16</v>
      </c>
      <c r="F55" s="249"/>
      <c r="G55" s="244" t="s">
        <v>17</v>
      </c>
      <c r="H55" s="244"/>
      <c r="I55" s="244" t="s">
        <v>18</v>
      </c>
      <c r="J55" s="244"/>
      <c r="K55" s="244" t="s">
        <v>19</v>
      </c>
      <c r="L55" s="244"/>
      <c r="M55" s="244" t="s">
        <v>53</v>
      </c>
      <c r="N55" s="245"/>
    </row>
    <row r="56" spans="1:14" x14ac:dyDescent="0.25">
      <c r="A56" s="247"/>
      <c r="B56" s="247"/>
      <c r="C56" s="103" t="s">
        <v>4</v>
      </c>
      <c r="D56" s="104" t="s">
        <v>20</v>
      </c>
      <c r="E56" s="120" t="s">
        <v>4</v>
      </c>
      <c r="F56" s="120" t="s">
        <v>20</v>
      </c>
      <c r="G56" s="104" t="s">
        <v>4</v>
      </c>
      <c r="H56" s="104" t="s">
        <v>20</v>
      </c>
      <c r="I56" s="104" t="s">
        <v>4</v>
      </c>
      <c r="J56" s="104" t="s">
        <v>20</v>
      </c>
      <c r="K56" s="104" t="s">
        <v>4</v>
      </c>
      <c r="L56" s="104" t="s">
        <v>20</v>
      </c>
      <c r="M56" s="104" t="s">
        <v>4</v>
      </c>
      <c r="N56" s="105" t="s">
        <v>20</v>
      </c>
    </row>
    <row r="57" spans="1:14" ht="30" x14ac:dyDescent="0.25">
      <c r="A57" s="55" t="s">
        <v>205</v>
      </c>
      <c r="B57" s="56" t="s">
        <v>123</v>
      </c>
      <c r="C57" s="109">
        <v>6</v>
      </c>
      <c r="D57" s="106">
        <v>662</v>
      </c>
      <c r="E57" s="110">
        <v>100</v>
      </c>
      <c r="F57" s="110">
        <v>93.7</v>
      </c>
      <c r="G57" s="110">
        <v>100</v>
      </c>
      <c r="H57" s="110">
        <v>90.3</v>
      </c>
      <c r="I57" s="110">
        <v>100</v>
      </c>
      <c r="J57" s="110">
        <v>91.8</v>
      </c>
      <c r="K57" s="110">
        <v>100</v>
      </c>
      <c r="L57" s="110">
        <v>90.6</v>
      </c>
      <c r="M57" s="110">
        <v>100</v>
      </c>
      <c r="N57" s="111">
        <v>75.3</v>
      </c>
    </row>
    <row r="58" spans="1:14" ht="16.5" customHeight="1" x14ac:dyDescent="0.25">
      <c r="A58" s="55" t="s">
        <v>69</v>
      </c>
      <c r="B58" s="56" t="s">
        <v>124</v>
      </c>
      <c r="C58" s="109">
        <v>20</v>
      </c>
      <c r="D58" s="106">
        <v>2153</v>
      </c>
      <c r="E58" s="110">
        <v>95</v>
      </c>
      <c r="F58" s="74">
        <v>89.4</v>
      </c>
      <c r="G58" s="110">
        <v>78.900000000000006</v>
      </c>
      <c r="H58" s="74">
        <v>94</v>
      </c>
      <c r="I58" s="110">
        <v>78.900000000000006</v>
      </c>
      <c r="J58" s="74">
        <v>87.1</v>
      </c>
      <c r="K58" s="110">
        <v>84.2</v>
      </c>
      <c r="L58" s="74">
        <v>88.5</v>
      </c>
      <c r="M58" s="110">
        <v>47.4</v>
      </c>
      <c r="N58" s="111">
        <v>80.599999999999994</v>
      </c>
    </row>
    <row r="59" spans="1:14" ht="90" x14ac:dyDescent="0.25">
      <c r="A59" s="55" t="s">
        <v>125</v>
      </c>
      <c r="B59" s="56" t="s">
        <v>126</v>
      </c>
      <c r="C59" s="109">
        <v>17</v>
      </c>
      <c r="D59" s="106">
        <v>490</v>
      </c>
      <c r="E59" s="110">
        <v>88.2</v>
      </c>
      <c r="F59" s="74">
        <v>90.4</v>
      </c>
      <c r="G59" s="110">
        <v>80</v>
      </c>
      <c r="H59" s="74">
        <v>88.7</v>
      </c>
      <c r="I59" s="110">
        <v>80</v>
      </c>
      <c r="J59" s="22">
        <v>91</v>
      </c>
      <c r="K59" s="110">
        <v>93.3</v>
      </c>
      <c r="L59" s="74">
        <v>92.6</v>
      </c>
      <c r="M59" s="110">
        <v>46.7</v>
      </c>
      <c r="N59" s="111">
        <v>67.7</v>
      </c>
    </row>
    <row r="60" spans="1:14" x14ac:dyDescent="0.25">
      <c r="A60" s="55" t="s">
        <v>127</v>
      </c>
      <c r="B60" s="56" t="s">
        <v>128</v>
      </c>
      <c r="C60" s="109">
        <v>15</v>
      </c>
      <c r="D60" s="106">
        <v>638</v>
      </c>
      <c r="E60" s="112">
        <v>80</v>
      </c>
      <c r="F60" s="22">
        <v>86.2</v>
      </c>
      <c r="G60" s="110">
        <v>91.7</v>
      </c>
      <c r="H60" s="74">
        <v>93.9</v>
      </c>
      <c r="I60" s="110">
        <v>75</v>
      </c>
      <c r="J60" s="22">
        <v>92.5</v>
      </c>
      <c r="K60" s="110">
        <v>83.3</v>
      </c>
      <c r="L60" s="74">
        <v>89.3</v>
      </c>
      <c r="M60" s="110">
        <v>83.3</v>
      </c>
      <c r="N60" s="111">
        <v>83.8</v>
      </c>
    </row>
    <row r="61" spans="1:14" x14ac:dyDescent="0.25">
      <c r="A61" s="55" t="s">
        <v>129</v>
      </c>
      <c r="B61" s="56" t="s">
        <v>130</v>
      </c>
      <c r="C61" s="109">
        <v>33</v>
      </c>
      <c r="D61" s="106">
        <v>2550</v>
      </c>
      <c r="E61" s="112">
        <v>87.9</v>
      </c>
      <c r="F61" s="74">
        <v>87.3</v>
      </c>
      <c r="G61" s="110">
        <v>93.1</v>
      </c>
      <c r="H61" s="74">
        <v>91.6</v>
      </c>
      <c r="I61" s="110">
        <v>89.7</v>
      </c>
      <c r="J61" s="74">
        <v>91.8</v>
      </c>
      <c r="K61" s="110">
        <v>96.6</v>
      </c>
      <c r="L61" s="74">
        <v>89.5</v>
      </c>
      <c r="M61" s="110">
        <v>79.3</v>
      </c>
      <c r="N61" s="111">
        <v>77.400000000000006</v>
      </c>
    </row>
    <row r="62" spans="1:14" ht="30" x14ac:dyDescent="0.25">
      <c r="A62" s="55" t="s">
        <v>131</v>
      </c>
      <c r="B62" s="69" t="s">
        <v>114</v>
      </c>
      <c r="C62" s="122">
        <v>170</v>
      </c>
      <c r="D62" s="106">
        <v>11135</v>
      </c>
      <c r="E62" s="112">
        <v>96.5</v>
      </c>
      <c r="F62" s="74">
        <v>89.7</v>
      </c>
      <c r="G62" s="110">
        <v>86.6</v>
      </c>
      <c r="H62" s="74">
        <v>92.3</v>
      </c>
      <c r="I62" s="110">
        <v>86.6</v>
      </c>
      <c r="J62" s="74">
        <v>88.9</v>
      </c>
      <c r="K62" s="110">
        <v>89.6</v>
      </c>
      <c r="L62" s="74">
        <v>90.8</v>
      </c>
      <c r="M62" s="110">
        <v>65.2</v>
      </c>
      <c r="N62" s="111">
        <v>77.5</v>
      </c>
    </row>
    <row r="63" spans="1:14" ht="60" x14ac:dyDescent="0.25">
      <c r="A63" s="55" t="s">
        <v>133</v>
      </c>
      <c r="B63" s="69" t="s">
        <v>134</v>
      </c>
      <c r="C63" s="122">
        <v>25</v>
      </c>
      <c r="D63" s="106">
        <v>1273</v>
      </c>
      <c r="E63" s="110">
        <v>100</v>
      </c>
      <c r="F63" s="74">
        <v>91.8</v>
      </c>
      <c r="G63" s="110">
        <v>96</v>
      </c>
      <c r="H63" s="74">
        <v>90.4</v>
      </c>
      <c r="I63" s="110">
        <v>92</v>
      </c>
      <c r="J63" s="74">
        <v>92.6</v>
      </c>
      <c r="K63" s="110">
        <v>84</v>
      </c>
      <c r="L63" s="74">
        <v>84.6</v>
      </c>
      <c r="M63" s="110">
        <v>60</v>
      </c>
      <c r="N63" s="111">
        <v>74</v>
      </c>
    </row>
    <row r="64" spans="1:14" ht="60" x14ac:dyDescent="0.25">
      <c r="A64" s="55" t="s">
        <v>207</v>
      </c>
      <c r="B64" s="56" t="s">
        <v>206</v>
      </c>
      <c r="C64" s="109">
        <v>2</v>
      </c>
      <c r="D64" s="106">
        <v>427</v>
      </c>
      <c r="E64" s="110" t="s">
        <v>208</v>
      </c>
      <c r="F64" s="74">
        <v>84.8</v>
      </c>
      <c r="G64" s="110" t="s">
        <v>208</v>
      </c>
      <c r="H64" s="74">
        <v>82.5</v>
      </c>
      <c r="I64" s="110" t="s">
        <v>208</v>
      </c>
      <c r="J64" s="74">
        <v>87.3</v>
      </c>
      <c r="K64" s="110" t="s">
        <v>208</v>
      </c>
      <c r="L64" s="74">
        <v>92.800000000000011</v>
      </c>
      <c r="M64" s="110" t="s">
        <v>208</v>
      </c>
      <c r="N64" s="111">
        <v>57.2</v>
      </c>
    </row>
    <row r="65" spans="1:14" ht="28.5" customHeight="1" x14ac:dyDescent="0.25">
      <c r="A65" s="55" t="s">
        <v>209</v>
      </c>
      <c r="B65" s="56" t="s">
        <v>135</v>
      </c>
      <c r="C65" s="109">
        <v>28</v>
      </c>
      <c r="D65" s="106">
        <v>1026</v>
      </c>
      <c r="E65" s="110">
        <v>96.4</v>
      </c>
      <c r="F65" s="74">
        <v>83.8</v>
      </c>
      <c r="G65" s="110">
        <v>88.9</v>
      </c>
      <c r="H65" s="74">
        <v>90.5</v>
      </c>
      <c r="I65" s="110">
        <v>100</v>
      </c>
      <c r="J65" s="74">
        <v>93</v>
      </c>
      <c r="K65" s="110">
        <v>100</v>
      </c>
      <c r="L65" s="74">
        <v>93.3</v>
      </c>
      <c r="M65" s="110">
        <v>81.5</v>
      </c>
      <c r="N65" s="111">
        <v>71.900000000000006</v>
      </c>
    </row>
    <row r="66" spans="1:14" ht="45" x14ac:dyDescent="0.25">
      <c r="A66" s="96" t="s">
        <v>136</v>
      </c>
      <c r="B66" s="57" t="s">
        <v>137</v>
      </c>
      <c r="C66" s="114">
        <v>12</v>
      </c>
      <c r="D66" s="115">
        <v>808</v>
      </c>
      <c r="E66" s="118">
        <v>91.7</v>
      </c>
      <c r="F66" s="117">
        <v>88.4</v>
      </c>
      <c r="G66" s="118">
        <v>45.5</v>
      </c>
      <c r="H66" s="117">
        <v>78.199999999999989</v>
      </c>
      <c r="I66" s="118">
        <v>90.9</v>
      </c>
      <c r="J66" s="117">
        <v>83</v>
      </c>
      <c r="K66" s="118">
        <v>81.8</v>
      </c>
      <c r="L66" s="117">
        <v>84.199999999999989</v>
      </c>
      <c r="M66" s="118">
        <v>54.5</v>
      </c>
      <c r="N66" s="119">
        <v>67.5</v>
      </c>
    </row>
    <row r="67" spans="1:14" ht="76.5" customHeight="1" x14ac:dyDescent="0.25">
      <c r="A67" s="246" t="s">
        <v>51</v>
      </c>
      <c r="B67" s="246" t="s">
        <v>52</v>
      </c>
      <c r="C67" s="248" t="s">
        <v>170</v>
      </c>
      <c r="D67" s="244"/>
      <c r="E67" s="249" t="s">
        <v>16</v>
      </c>
      <c r="F67" s="249"/>
      <c r="G67" s="244" t="s">
        <v>17</v>
      </c>
      <c r="H67" s="244"/>
      <c r="I67" s="244" t="s">
        <v>18</v>
      </c>
      <c r="J67" s="244"/>
      <c r="K67" s="244" t="s">
        <v>19</v>
      </c>
      <c r="L67" s="244"/>
      <c r="M67" s="244" t="s">
        <v>53</v>
      </c>
      <c r="N67" s="245"/>
    </row>
    <row r="68" spans="1:14" x14ac:dyDescent="0.25">
      <c r="A68" s="247"/>
      <c r="B68" s="247"/>
      <c r="C68" s="103" t="s">
        <v>4</v>
      </c>
      <c r="D68" s="104" t="s">
        <v>20</v>
      </c>
      <c r="E68" s="120" t="s">
        <v>4</v>
      </c>
      <c r="F68" s="120" t="s">
        <v>20</v>
      </c>
      <c r="G68" s="104" t="s">
        <v>4</v>
      </c>
      <c r="H68" s="104" t="s">
        <v>20</v>
      </c>
      <c r="I68" s="104" t="s">
        <v>4</v>
      </c>
      <c r="J68" s="104" t="s">
        <v>20</v>
      </c>
      <c r="K68" s="104" t="s">
        <v>4</v>
      </c>
      <c r="L68" s="104" t="s">
        <v>20</v>
      </c>
      <c r="M68" s="104" t="s">
        <v>4</v>
      </c>
      <c r="N68" s="105" t="s">
        <v>20</v>
      </c>
    </row>
    <row r="69" spans="1:14" ht="30" x14ac:dyDescent="0.25">
      <c r="A69" s="55" t="s">
        <v>138</v>
      </c>
      <c r="B69" s="56" t="s">
        <v>139</v>
      </c>
      <c r="C69" s="109">
        <v>62</v>
      </c>
      <c r="D69" s="106">
        <v>1692</v>
      </c>
      <c r="E69" s="110">
        <v>95.2</v>
      </c>
      <c r="F69" s="74">
        <v>89.7</v>
      </c>
      <c r="G69" s="110">
        <v>100</v>
      </c>
      <c r="H69" s="74">
        <v>88.9</v>
      </c>
      <c r="I69" s="110">
        <v>98.3</v>
      </c>
      <c r="J69" s="74">
        <v>91.2</v>
      </c>
      <c r="K69" s="110">
        <v>96.6</v>
      </c>
      <c r="L69" s="74">
        <v>91.1</v>
      </c>
      <c r="M69" s="110">
        <v>69.5</v>
      </c>
      <c r="N69" s="111">
        <v>67.599999999999994</v>
      </c>
    </row>
    <row r="70" spans="1:14" ht="75" x14ac:dyDescent="0.25">
      <c r="A70" s="55" t="s">
        <v>140</v>
      </c>
      <c r="B70" s="56" t="s">
        <v>141</v>
      </c>
      <c r="C70" s="109">
        <v>26</v>
      </c>
      <c r="D70" s="106">
        <v>1592</v>
      </c>
      <c r="E70" s="110">
        <v>76.900000000000006</v>
      </c>
      <c r="F70" s="74">
        <v>89.5</v>
      </c>
      <c r="G70" s="110">
        <v>95</v>
      </c>
      <c r="H70" s="74">
        <v>90.9</v>
      </c>
      <c r="I70" s="110">
        <v>100</v>
      </c>
      <c r="J70" s="74">
        <v>90.699999999999989</v>
      </c>
      <c r="K70" s="110">
        <v>90</v>
      </c>
      <c r="L70" s="74">
        <v>90.7</v>
      </c>
      <c r="M70" s="110">
        <v>85</v>
      </c>
      <c r="N70" s="111">
        <v>76.599999999999994</v>
      </c>
    </row>
    <row r="71" spans="1:14" ht="45" x14ac:dyDescent="0.25">
      <c r="A71" s="55" t="s">
        <v>142</v>
      </c>
      <c r="B71" s="56" t="s">
        <v>143</v>
      </c>
      <c r="C71" s="109">
        <v>12</v>
      </c>
      <c r="D71" s="106">
        <v>462</v>
      </c>
      <c r="E71" s="110">
        <v>100</v>
      </c>
      <c r="F71" s="74">
        <v>89.6</v>
      </c>
      <c r="G71" s="110">
        <v>66.7</v>
      </c>
      <c r="H71" s="74">
        <v>68.400000000000006</v>
      </c>
      <c r="I71" s="110">
        <v>66.7</v>
      </c>
      <c r="J71" s="74">
        <v>77.3</v>
      </c>
      <c r="K71" s="110">
        <v>75</v>
      </c>
      <c r="L71" s="74">
        <v>81.400000000000006</v>
      </c>
      <c r="M71" s="110">
        <v>58.3</v>
      </c>
      <c r="N71" s="111">
        <v>62.8</v>
      </c>
    </row>
    <row r="72" spans="1:14" ht="45" x14ac:dyDescent="0.25">
      <c r="A72" s="55" t="s">
        <v>144</v>
      </c>
      <c r="B72" s="56" t="s">
        <v>145</v>
      </c>
      <c r="C72" s="109">
        <v>20</v>
      </c>
      <c r="D72" s="106">
        <v>436</v>
      </c>
      <c r="E72" s="110">
        <v>100</v>
      </c>
      <c r="F72" s="74">
        <v>93.6</v>
      </c>
      <c r="G72" s="110">
        <v>95</v>
      </c>
      <c r="H72" s="74">
        <v>90.9</v>
      </c>
      <c r="I72" s="110">
        <v>95</v>
      </c>
      <c r="J72" s="74">
        <v>87.3</v>
      </c>
      <c r="K72" s="110">
        <v>100</v>
      </c>
      <c r="L72" s="74">
        <v>87.800000000000011</v>
      </c>
      <c r="M72" s="110">
        <v>80</v>
      </c>
      <c r="N72" s="111">
        <v>76.7</v>
      </c>
    </row>
    <row r="73" spans="1:14" x14ac:dyDescent="0.25">
      <c r="A73" s="55" t="s">
        <v>146</v>
      </c>
      <c r="B73" s="56" t="s">
        <v>147</v>
      </c>
      <c r="C73" s="109">
        <v>24</v>
      </c>
      <c r="D73" s="106">
        <v>1121</v>
      </c>
      <c r="E73" s="110">
        <v>91.7</v>
      </c>
      <c r="F73" s="74">
        <v>92.5</v>
      </c>
      <c r="G73" s="110">
        <v>95.5</v>
      </c>
      <c r="H73" s="74">
        <v>91.5</v>
      </c>
      <c r="I73" s="110">
        <v>95.5</v>
      </c>
      <c r="J73" s="74">
        <v>93.4</v>
      </c>
      <c r="K73" s="110">
        <v>86.4</v>
      </c>
      <c r="L73" s="74">
        <v>90.4</v>
      </c>
      <c r="M73" s="110">
        <v>90.9</v>
      </c>
      <c r="N73" s="111">
        <v>74.900000000000006</v>
      </c>
    </row>
    <row r="74" spans="1:14" ht="18.75" customHeight="1" x14ac:dyDescent="0.25">
      <c r="A74" s="250" t="s">
        <v>212</v>
      </c>
      <c r="B74" s="55" t="s">
        <v>211</v>
      </c>
      <c r="C74" s="109">
        <v>14</v>
      </c>
      <c r="D74" s="109">
        <v>1218</v>
      </c>
      <c r="E74" s="110">
        <v>85.7</v>
      </c>
      <c r="F74" s="109">
        <v>87.5</v>
      </c>
      <c r="G74" s="110">
        <v>100</v>
      </c>
      <c r="H74" s="109">
        <v>91</v>
      </c>
      <c r="I74" s="110">
        <v>100</v>
      </c>
      <c r="J74" s="109">
        <v>92.8</v>
      </c>
      <c r="K74" s="110">
        <v>100</v>
      </c>
      <c r="L74" s="109">
        <v>94.3</v>
      </c>
      <c r="M74" s="110">
        <v>91.7</v>
      </c>
      <c r="N74" s="126">
        <v>78.5</v>
      </c>
    </row>
    <row r="75" spans="1:14" ht="18.75" customHeight="1" x14ac:dyDescent="0.25">
      <c r="A75" s="250"/>
      <c r="B75" s="55" t="s">
        <v>210</v>
      </c>
      <c r="C75" s="109">
        <v>32</v>
      </c>
      <c r="D75" s="109">
        <v>939</v>
      </c>
      <c r="E75" s="110">
        <v>84.4</v>
      </c>
      <c r="F75" s="109">
        <v>86.4</v>
      </c>
      <c r="G75" s="110">
        <v>96.3</v>
      </c>
      <c r="H75" s="109">
        <f>53.4+37.2</f>
        <v>90.6</v>
      </c>
      <c r="I75" s="110">
        <v>100</v>
      </c>
      <c r="J75" s="109">
        <f>44.1+49.1</f>
        <v>93.2</v>
      </c>
      <c r="K75" s="110">
        <v>96.3</v>
      </c>
      <c r="L75" s="109">
        <f>51.9+40.9</f>
        <v>92.8</v>
      </c>
      <c r="M75" s="110">
        <v>85.2</v>
      </c>
      <c r="N75" s="126">
        <v>75.5</v>
      </c>
    </row>
    <row r="76" spans="1:14" ht="45" x14ac:dyDescent="0.25">
      <c r="A76" s="96" t="s">
        <v>159</v>
      </c>
      <c r="B76" s="57" t="s">
        <v>148</v>
      </c>
      <c r="C76" s="114">
        <v>27</v>
      </c>
      <c r="D76" s="115">
        <v>482</v>
      </c>
      <c r="E76" s="116">
        <v>92.6</v>
      </c>
      <c r="F76" s="117">
        <v>91.9</v>
      </c>
      <c r="G76" s="118">
        <v>76</v>
      </c>
      <c r="H76" s="127">
        <f>33.2+51.5</f>
        <v>84.7</v>
      </c>
      <c r="I76" s="118">
        <v>92</v>
      </c>
      <c r="J76" s="117">
        <f>29.6+61.2</f>
        <v>90.800000000000011</v>
      </c>
      <c r="K76" s="118">
        <v>96</v>
      </c>
      <c r="L76" s="117">
        <f>39.7+50.3</f>
        <v>90</v>
      </c>
      <c r="M76" s="118">
        <v>64</v>
      </c>
      <c r="N76" s="119">
        <v>65.2</v>
      </c>
    </row>
    <row r="77" spans="1:14" ht="30" x14ac:dyDescent="0.25">
      <c r="A77" s="186" t="s">
        <v>149</v>
      </c>
      <c r="B77" s="54" t="s">
        <v>150</v>
      </c>
      <c r="C77" s="121">
        <v>47</v>
      </c>
      <c r="D77" s="106">
        <v>5080</v>
      </c>
      <c r="E77" s="110">
        <v>100</v>
      </c>
      <c r="F77" s="22">
        <v>96.6</v>
      </c>
      <c r="G77" s="110">
        <v>93.6</v>
      </c>
      <c r="H77" s="22">
        <v>90.300000000000011</v>
      </c>
      <c r="I77" s="110">
        <v>87.2</v>
      </c>
      <c r="J77" s="74">
        <v>84</v>
      </c>
      <c r="K77" s="110">
        <v>76.599999999999994</v>
      </c>
      <c r="L77" s="74">
        <v>73.7</v>
      </c>
      <c r="M77" s="107">
        <v>80.900000000000006</v>
      </c>
      <c r="N77" s="108">
        <v>65.8</v>
      </c>
    </row>
    <row r="78" spans="1:14" x14ac:dyDescent="0.25">
      <c r="A78" s="187" t="s">
        <v>151</v>
      </c>
      <c r="B78" s="56" t="s">
        <v>150</v>
      </c>
      <c r="C78" s="122">
        <v>133</v>
      </c>
      <c r="D78" s="106">
        <v>5080</v>
      </c>
      <c r="E78" s="110">
        <v>100</v>
      </c>
      <c r="F78" s="22">
        <v>96.6</v>
      </c>
      <c r="G78" s="110">
        <v>91</v>
      </c>
      <c r="H78" s="22">
        <v>90.300000000000011</v>
      </c>
      <c r="I78" s="110">
        <v>80.5</v>
      </c>
      <c r="J78" s="74">
        <v>84</v>
      </c>
      <c r="K78" s="110">
        <v>79.7</v>
      </c>
      <c r="L78" s="74">
        <v>73.7</v>
      </c>
      <c r="M78" s="110">
        <v>69.900000000000006</v>
      </c>
      <c r="N78" s="111">
        <v>65.8</v>
      </c>
    </row>
    <row r="79" spans="1:14" x14ac:dyDescent="0.25">
      <c r="A79" s="55" t="s">
        <v>33</v>
      </c>
      <c r="B79" s="56" t="s">
        <v>152</v>
      </c>
      <c r="C79" s="122">
        <v>188</v>
      </c>
      <c r="D79" s="106">
        <v>13575</v>
      </c>
      <c r="E79" s="112">
        <v>98.9</v>
      </c>
      <c r="F79" s="74">
        <v>92.6</v>
      </c>
      <c r="G79" s="110">
        <v>93.5</v>
      </c>
      <c r="H79" s="74">
        <v>88.2</v>
      </c>
      <c r="I79" s="110">
        <v>88.2</v>
      </c>
      <c r="J79" s="22">
        <v>79.8</v>
      </c>
      <c r="K79" s="110">
        <v>82.3</v>
      </c>
      <c r="L79" s="74">
        <v>74.5</v>
      </c>
      <c r="M79" s="110">
        <v>73.099999999999994</v>
      </c>
      <c r="N79" s="128">
        <v>68.099999999999994</v>
      </c>
    </row>
    <row r="80" spans="1:14" x14ac:dyDescent="0.25">
      <c r="A80" s="188" t="s">
        <v>153</v>
      </c>
      <c r="B80" s="57" t="s">
        <v>154</v>
      </c>
      <c r="C80" s="129">
        <v>155</v>
      </c>
      <c r="D80" s="106">
        <v>9741</v>
      </c>
      <c r="E80" s="130">
        <v>96.1</v>
      </c>
      <c r="F80" s="74">
        <v>93.3</v>
      </c>
      <c r="G80" s="118">
        <v>85.2</v>
      </c>
      <c r="H80" s="74">
        <v>83.8</v>
      </c>
      <c r="I80" s="118">
        <v>72.5</v>
      </c>
      <c r="J80" s="74">
        <v>71.8</v>
      </c>
      <c r="K80" s="118">
        <v>69.099999999999994</v>
      </c>
      <c r="L80" s="74">
        <v>66.400000000000006</v>
      </c>
      <c r="M80" s="118">
        <v>67.099999999999994</v>
      </c>
      <c r="N80" s="119">
        <v>65</v>
      </c>
    </row>
    <row r="81" spans="1:14" x14ac:dyDescent="0.25">
      <c r="A81" s="59" t="s">
        <v>39</v>
      </c>
      <c r="B81" s="60"/>
      <c r="C81" s="131">
        <v>2938</v>
      </c>
      <c r="D81" s="131">
        <v>280230</v>
      </c>
      <c r="E81" s="132">
        <v>96.7</v>
      </c>
      <c r="F81" s="132">
        <v>92.4</v>
      </c>
      <c r="G81" s="132">
        <v>91</v>
      </c>
      <c r="H81" s="132">
        <v>88.9</v>
      </c>
      <c r="I81" s="132">
        <v>87.7</v>
      </c>
      <c r="J81" s="132">
        <v>86.4</v>
      </c>
      <c r="K81" s="132">
        <v>84.9</v>
      </c>
      <c r="L81" s="132">
        <v>82.7</v>
      </c>
      <c r="M81" s="132">
        <v>73</v>
      </c>
      <c r="N81" s="133">
        <v>70</v>
      </c>
    </row>
    <row r="82" spans="1:14" ht="15" customHeight="1" x14ac:dyDescent="0.25">
      <c r="A82" s="258" t="s">
        <v>213</v>
      </c>
      <c r="B82" s="258"/>
      <c r="C82" s="258"/>
      <c r="D82" s="258"/>
      <c r="E82" s="258"/>
      <c r="F82" s="258"/>
    </row>
    <row r="83" spans="1:14" x14ac:dyDescent="0.25">
      <c r="A83" s="61" t="s">
        <v>155</v>
      </c>
    </row>
  </sheetData>
  <mergeCells count="59">
    <mergeCell ref="A82:F82"/>
    <mergeCell ref="A55:A56"/>
    <mergeCell ref="B55:B56"/>
    <mergeCell ref="C55:D55"/>
    <mergeCell ref="E55:F55"/>
    <mergeCell ref="G55:H55"/>
    <mergeCell ref="G3:H3"/>
    <mergeCell ref="I36:J36"/>
    <mergeCell ref="K36:L36"/>
    <mergeCell ref="M36:N36"/>
    <mergeCell ref="A41:A42"/>
    <mergeCell ref="B41:B42"/>
    <mergeCell ref="C41:D41"/>
    <mergeCell ref="E41:F41"/>
    <mergeCell ref="G41:H41"/>
    <mergeCell ref="I41:J41"/>
    <mergeCell ref="K41:L41"/>
    <mergeCell ref="M41:N41"/>
    <mergeCell ref="A36:A37"/>
    <mergeCell ref="B36:B37"/>
    <mergeCell ref="C36:D36"/>
    <mergeCell ref="E36:F36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B3:B4"/>
    <mergeCell ref="C3:D3"/>
    <mergeCell ref="E3:F3"/>
    <mergeCell ref="A74:A75"/>
    <mergeCell ref="A67:A68"/>
    <mergeCell ref="B67:B68"/>
    <mergeCell ref="C67:D67"/>
    <mergeCell ref="E67:F67"/>
    <mergeCell ref="G67:H67"/>
    <mergeCell ref="I67:J67"/>
    <mergeCell ref="K67:L67"/>
    <mergeCell ref="M67:N67"/>
    <mergeCell ref="A27:A28"/>
    <mergeCell ref="B27:B28"/>
    <mergeCell ref="C27:D27"/>
    <mergeCell ref="E27:F27"/>
    <mergeCell ref="G27:H27"/>
    <mergeCell ref="I27:J27"/>
    <mergeCell ref="K27:L27"/>
    <mergeCell ref="M27:N27"/>
    <mergeCell ref="G36:H36"/>
    <mergeCell ref="I55:J55"/>
    <mergeCell ref="K55:L55"/>
    <mergeCell ref="M55:N55"/>
  </mergeCells>
  <pageMargins left="0.7" right="0.7" top="0.75" bottom="0.75" header="0.3" footer="0.3"/>
  <pageSetup paperSize="9" scale="91" fitToHeight="0" orientation="landscape" r:id="rId1"/>
  <rowBreaks count="5" manualBreakCount="5">
    <brk id="13" max="13" man="1"/>
    <brk id="26" max="13" man="1"/>
    <brk id="35" max="16383" man="1"/>
    <brk id="40" max="13" man="1"/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workbookViewId="0">
      <selection activeCell="D25" sqref="D25"/>
    </sheetView>
  </sheetViews>
  <sheetFormatPr defaultRowHeight="15" x14ac:dyDescent="0.25"/>
  <cols>
    <col min="1" max="1" width="33.85546875" customWidth="1"/>
    <col min="2" max="7" width="15.7109375" customWidth="1"/>
  </cols>
  <sheetData>
    <row r="1" spans="1:9" x14ac:dyDescent="0.25">
      <c r="A1" s="252" t="s">
        <v>171</v>
      </c>
      <c r="B1" s="252"/>
      <c r="C1" s="252"/>
      <c r="D1" s="252"/>
      <c r="E1" s="252"/>
      <c r="F1" s="252"/>
    </row>
    <row r="2" spans="1:9" ht="15.75" x14ac:dyDescent="0.25">
      <c r="A2" s="24"/>
      <c r="B2" s="256" t="s">
        <v>167</v>
      </c>
      <c r="C2" s="257"/>
      <c r="D2" s="256" t="s">
        <v>156</v>
      </c>
      <c r="E2" s="257"/>
      <c r="F2" s="256" t="s">
        <v>40</v>
      </c>
      <c r="G2" s="257"/>
      <c r="I2" s="64"/>
    </row>
    <row r="3" spans="1:9" ht="75.75" customHeight="1" x14ac:dyDescent="0.25">
      <c r="A3" s="153" t="s">
        <v>185</v>
      </c>
      <c r="B3" s="44" t="s">
        <v>186</v>
      </c>
      <c r="C3" s="45" t="s">
        <v>187</v>
      </c>
      <c r="D3" s="48" t="s">
        <v>188</v>
      </c>
      <c r="E3" s="45" t="s">
        <v>187</v>
      </c>
      <c r="F3" s="48" t="s">
        <v>188</v>
      </c>
      <c r="G3" s="45" t="s">
        <v>187</v>
      </c>
    </row>
    <row r="4" spans="1:9" x14ac:dyDescent="0.25">
      <c r="A4" s="47" t="s">
        <v>4</v>
      </c>
      <c r="B4">
        <v>34.5</v>
      </c>
      <c r="C4">
        <v>50.8</v>
      </c>
      <c r="D4" s="97">
        <v>31.3</v>
      </c>
      <c r="E4" s="98">
        <v>52.6</v>
      </c>
      <c r="F4" s="51">
        <v>30.9</v>
      </c>
      <c r="G4" s="52">
        <v>49.7</v>
      </c>
    </row>
    <row r="5" spans="1:9" x14ac:dyDescent="0.25">
      <c r="A5" s="46" t="s">
        <v>5</v>
      </c>
      <c r="B5">
        <v>25.1</v>
      </c>
      <c r="C5">
        <v>48.5</v>
      </c>
      <c r="D5" s="99">
        <v>24.3</v>
      </c>
      <c r="E5" s="100">
        <v>47.7</v>
      </c>
      <c r="F5" s="49">
        <v>24.2</v>
      </c>
      <c r="G5" s="50">
        <v>46.9</v>
      </c>
    </row>
    <row r="6" spans="1:9" x14ac:dyDescent="0.25">
      <c r="A6" s="253"/>
      <c r="B6" s="254"/>
      <c r="C6" s="254"/>
      <c r="D6" s="254"/>
      <c r="E6" s="254"/>
      <c r="F6" s="254"/>
      <c r="G6" s="255"/>
    </row>
    <row r="7" spans="1:9" ht="45" x14ac:dyDescent="0.25">
      <c r="A7" s="141" t="s">
        <v>189</v>
      </c>
      <c r="B7" s="44" t="s">
        <v>190</v>
      </c>
      <c r="C7" s="45" t="s">
        <v>191</v>
      </c>
      <c r="D7" s="44" t="s">
        <v>190</v>
      </c>
      <c r="E7" s="45" t="s">
        <v>191</v>
      </c>
      <c r="F7" s="44" t="s">
        <v>190</v>
      </c>
      <c r="G7" s="45" t="s">
        <v>191</v>
      </c>
    </row>
    <row r="8" spans="1:9" x14ac:dyDescent="0.25">
      <c r="A8" s="47" t="s">
        <v>4</v>
      </c>
      <c r="B8">
        <v>58.9</v>
      </c>
      <c r="C8">
        <v>41.1</v>
      </c>
      <c r="D8" s="97">
        <v>54.1</v>
      </c>
      <c r="E8" s="98">
        <v>45.9</v>
      </c>
      <c r="F8" s="36">
        <v>51.4</v>
      </c>
      <c r="G8" s="27">
        <v>48.6</v>
      </c>
    </row>
    <row r="9" spans="1:9" x14ac:dyDescent="0.25">
      <c r="A9" s="46" t="s">
        <v>5</v>
      </c>
      <c r="B9">
        <v>51.6</v>
      </c>
      <c r="C9">
        <v>48.4</v>
      </c>
      <c r="D9" s="101">
        <v>49.7</v>
      </c>
      <c r="E9" s="50">
        <v>50.3</v>
      </c>
      <c r="F9" s="38">
        <v>48</v>
      </c>
      <c r="G9" s="26">
        <v>52</v>
      </c>
    </row>
    <row r="10" spans="1:9" x14ac:dyDescent="0.25">
      <c r="A10" s="253"/>
      <c r="B10" s="254"/>
      <c r="C10" s="254"/>
      <c r="D10" s="254"/>
      <c r="E10" s="254"/>
      <c r="F10" s="254"/>
      <c r="G10" s="255"/>
    </row>
    <row r="11" spans="1:9" ht="30" x14ac:dyDescent="0.25">
      <c r="A11" s="141" t="s">
        <v>192</v>
      </c>
      <c r="B11" s="48" t="s">
        <v>193</v>
      </c>
      <c r="C11" s="45" t="s">
        <v>194</v>
      </c>
      <c r="D11" s="48" t="s">
        <v>195</v>
      </c>
      <c r="E11" s="45" t="s">
        <v>194</v>
      </c>
      <c r="F11" s="48" t="s">
        <v>193</v>
      </c>
      <c r="G11" s="45" t="s">
        <v>194</v>
      </c>
    </row>
    <row r="12" spans="1:9" x14ac:dyDescent="0.25">
      <c r="A12" s="47" t="s">
        <v>4</v>
      </c>
      <c r="B12">
        <v>50.4</v>
      </c>
      <c r="C12">
        <v>45.8</v>
      </c>
      <c r="D12" s="51">
        <v>48.3</v>
      </c>
      <c r="E12" s="102">
        <v>47.9</v>
      </c>
      <c r="F12" s="36">
        <v>47.3</v>
      </c>
      <c r="G12" s="27">
        <v>48.7</v>
      </c>
    </row>
    <row r="13" spans="1:9" x14ac:dyDescent="0.25">
      <c r="A13" s="46" t="s">
        <v>5</v>
      </c>
      <c r="B13">
        <v>39.200000000000003</v>
      </c>
      <c r="C13">
        <v>52.5</v>
      </c>
      <c r="D13" s="49">
        <v>37.4</v>
      </c>
      <c r="E13" s="50">
        <v>53.6</v>
      </c>
      <c r="F13" s="38">
        <v>35.9</v>
      </c>
      <c r="G13" s="26">
        <v>54.2</v>
      </c>
    </row>
    <row r="14" spans="1:9" x14ac:dyDescent="0.25">
      <c r="A14" s="253"/>
      <c r="B14" s="254"/>
      <c r="C14" s="254"/>
      <c r="D14" s="254"/>
      <c r="E14" s="254"/>
      <c r="F14" s="254"/>
      <c r="G14" s="255"/>
    </row>
    <row r="15" spans="1:9" ht="60" customHeight="1" x14ac:dyDescent="0.25">
      <c r="A15" s="141" t="s">
        <v>196</v>
      </c>
      <c r="B15" s="48" t="s">
        <v>188</v>
      </c>
      <c r="C15" s="45" t="s">
        <v>187</v>
      </c>
      <c r="D15" s="48" t="s">
        <v>188</v>
      </c>
      <c r="E15" s="45" t="s">
        <v>187</v>
      </c>
      <c r="F15" s="48" t="s">
        <v>188</v>
      </c>
      <c r="G15" s="45" t="s">
        <v>187</v>
      </c>
    </row>
    <row r="16" spans="1:9" x14ac:dyDescent="0.25">
      <c r="A16" s="47" t="s">
        <v>4</v>
      </c>
      <c r="B16">
        <v>28.9</v>
      </c>
      <c r="C16">
        <v>49.6</v>
      </c>
      <c r="D16" s="51">
        <v>25.3</v>
      </c>
      <c r="E16" s="52">
        <v>51.3</v>
      </c>
      <c r="F16" s="36">
        <v>24.9</v>
      </c>
      <c r="G16" s="27">
        <v>47.4</v>
      </c>
    </row>
    <row r="17" spans="1:7" x14ac:dyDescent="0.25">
      <c r="A17" s="46" t="s">
        <v>5</v>
      </c>
      <c r="B17" s="38">
        <v>23.4</v>
      </c>
      <c r="C17" s="26">
        <v>45.6</v>
      </c>
      <c r="D17" s="99">
        <v>22.2</v>
      </c>
      <c r="E17" s="50">
        <v>44.5</v>
      </c>
      <c r="F17" s="38">
        <v>21.2</v>
      </c>
      <c r="G17" s="26">
        <v>43.9</v>
      </c>
    </row>
    <row r="18" spans="1:7" x14ac:dyDescent="0.25">
      <c r="A18" s="258" t="s">
        <v>213</v>
      </c>
      <c r="B18" s="258"/>
      <c r="C18" s="258"/>
      <c r="D18" s="258"/>
      <c r="E18" s="258"/>
      <c r="F18" s="258"/>
    </row>
  </sheetData>
  <mergeCells count="8">
    <mergeCell ref="A18:F18"/>
    <mergeCell ref="A1:F1"/>
    <mergeCell ref="A10:G10"/>
    <mergeCell ref="A14:G14"/>
    <mergeCell ref="D2:E2"/>
    <mergeCell ref="F2:G2"/>
    <mergeCell ref="A6:G6"/>
    <mergeCell ref="B2:C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D237-4B78-4746-A140-69C850518E80}">
  <sheetPr>
    <pageSetUpPr fitToPage="1"/>
  </sheetPr>
  <dimension ref="A1:N26"/>
  <sheetViews>
    <sheetView zoomScaleNormal="100" workbookViewId="0">
      <selection activeCell="A26" sqref="A26:F26"/>
    </sheetView>
  </sheetViews>
  <sheetFormatPr defaultRowHeight="15" x14ac:dyDescent="0.25"/>
  <cols>
    <col min="1" max="1" width="17" customWidth="1"/>
    <col min="2" max="13" width="12.7109375" customWidth="1"/>
  </cols>
  <sheetData>
    <row r="1" spans="1:14" x14ac:dyDescent="0.25">
      <c r="A1" s="252" t="s">
        <v>203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4" x14ac:dyDescent="0.25">
      <c r="A2" s="166"/>
      <c r="B2" s="166"/>
      <c r="C2" s="166"/>
      <c r="D2" s="166"/>
      <c r="E2" s="166"/>
      <c r="F2" s="166"/>
    </row>
    <row r="3" spans="1:14" ht="54" customHeight="1" x14ac:dyDescent="0.25">
      <c r="B3" s="232" t="s">
        <v>198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6"/>
    </row>
    <row r="4" spans="1:14" x14ac:dyDescent="0.25">
      <c r="A4" s="166"/>
      <c r="B4" s="241" t="s">
        <v>167</v>
      </c>
      <c r="C4" s="242"/>
      <c r="D4" s="242"/>
      <c r="E4" s="243"/>
      <c r="F4" s="241" t="s">
        <v>156</v>
      </c>
      <c r="G4" s="242"/>
      <c r="H4" s="242"/>
      <c r="I4" s="243"/>
      <c r="J4" s="241" t="s">
        <v>40</v>
      </c>
      <c r="K4" s="242"/>
      <c r="L4" s="242"/>
      <c r="M4" s="243"/>
    </row>
    <row r="5" spans="1:14" ht="45" x14ac:dyDescent="0.25">
      <c r="A5" s="70" t="s">
        <v>30</v>
      </c>
      <c r="B5" s="164" t="s">
        <v>199</v>
      </c>
      <c r="C5" s="165" t="s">
        <v>200</v>
      </c>
      <c r="D5" s="165" t="s">
        <v>201</v>
      </c>
      <c r="E5" s="32" t="s">
        <v>202</v>
      </c>
      <c r="F5" s="164" t="s">
        <v>199</v>
      </c>
      <c r="G5" s="165" t="s">
        <v>200</v>
      </c>
      <c r="H5" s="165" t="s">
        <v>201</v>
      </c>
      <c r="I5" s="32" t="s">
        <v>202</v>
      </c>
      <c r="J5" s="164" t="s">
        <v>199</v>
      </c>
      <c r="K5" s="165" t="s">
        <v>200</v>
      </c>
      <c r="L5" s="165" t="s">
        <v>201</v>
      </c>
      <c r="M5" s="32" t="s">
        <v>202</v>
      </c>
    </row>
    <row r="6" spans="1:14" ht="30" x14ac:dyDescent="0.25">
      <c r="A6" s="73" t="s">
        <v>31</v>
      </c>
      <c r="B6" s="172">
        <v>42.9</v>
      </c>
      <c r="C6" s="21">
        <v>41.1</v>
      </c>
      <c r="D6" s="21">
        <v>16.100000000000001</v>
      </c>
      <c r="E6" s="92">
        <v>0</v>
      </c>
      <c r="F6" s="173">
        <v>36.4</v>
      </c>
      <c r="G6" s="23">
        <v>51.5</v>
      </c>
      <c r="H6" s="23">
        <v>9.1</v>
      </c>
      <c r="I6" s="91">
        <v>1.5</v>
      </c>
      <c r="J6" s="173">
        <v>31.9</v>
      </c>
      <c r="K6" s="23">
        <v>45.1</v>
      </c>
      <c r="L6" s="23">
        <v>16.5</v>
      </c>
      <c r="M6" s="91">
        <v>6.6</v>
      </c>
    </row>
    <row r="7" spans="1:14" ht="45" x14ac:dyDescent="0.25">
      <c r="A7" s="73" t="s">
        <v>41</v>
      </c>
      <c r="B7" s="172">
        <v>36.5</v>
      </c>
      <c r="C7" s="21">
        <v>50.6</v>
      </c>
      <c r="D7" s="21">
        <v>12.4</v>
      </c>
      <c r="E7" s="92">
        <v>0.4</v>
      </c>
      <c r="F7" s="172">
        <v>37.799999999999997</v>
      </c>
      <c r="G7" s="21">
        <v>45</v>
      </c>
      <c r="H7" s="21">
        <v>12.8</v>
      </c>
      <c r="I7" s="92">
        <v>4.4000000000000004</v>
      </c>
      <c r="J7" s="172">
        <v>36.1</v>
      </c>
      <c r="K7" s="21">
        <v>45.8</v>
      </c>
      <c r="L7" s="21">
        <v>15.7</v>
      </c>
      <c r="M7" s="92">
        <v>2.2999999999999998</v>
      </c>
    </row>
    <row r="8" spans="1:14" ht="30" x14ac:dyDescent="0.25">
      <c r="A8" s="73" t="s">
        <v>32</v>
      </c>
      <c r="B8" s="172">
        <v>43.7</v>
      </c>
      <c r="C8" s="21">
        <v>52.4</v>
      </c>
      <c r="D8" s="21">
        <v>3</v>
      </c>
      <c r="E8" s="92">
        <v>0.9</v>
      </c>
      <c r="F8" s="172">
        <v>40.299999999999997</v>
      </c>
      <c r="G8" s="21">
        <v>47.2</v>
      </c>
      <c r="H8" s="21">
        <v>10.5</v>
      </c>
      <c r="I8" s="92">
        <v>1.2</v>
      </c>
      <c r="J8" s="172">
        <v>41.4</v>
      </c>
      <c r="K8" s="21">
        <v>48.2</v>
      </c>
      <c r="L8" s="21">
        <v>9.3000000000000007</v>
      </c>
      <c r="M8" s="92">
        <v>0.4</v>
      </c>
      <c r="N8" s="181"/>
    </row>
    <row r="9" spans="1:14" ht="60" x14ac:dyDescent="0.25">
      <c r="A9" s="73" t="s">
        <v>46</v>
      </c>
      <c r="B9" s="172">
        <v>58.8</v>
      </c>
      <c r="C9" s="21">
        <v>32.4</v>
      </c>
      <c r="D9" s="21">
        <v>7.4</v>
      </c>
      <c r="E9" s="92">
        <v>1.5</v>
      </c>
      <c r="F9" s="172">
        <v>64.900000000000006</v>
      </c>
      <c r="G9" s="21">
        <v>31.9</v>
      </c>
      <c r="H9" s="21">
        <v>2.1</v>
      </c>
      <c r="I9" s="92">
        <v>1.1000000000000001</v>
      </c>
      <c r="J9" s="172">
        <v>56.3</v>
      </c>
      <c r="K9" s="21">
        <v>35.9</v>
      </c>
      <c r="L9" s="21">
        <v>6.3</v>
      </c>
      <c r="M9" s="92">
        <v>1.6</v>
      </c>
    </row>
    <row r="10" spans="1:14" x14ac:dyDescent="0.25">
      <c r="A10" s="73" t="s">
        <v>33</v>
      </c>
      <c r="B10" s="172">
        <v>57.4</v>
      </c>
      <c r="C10" s="21">
        <v>35.700000000000003</v>
      </c>
      <c r="D10" s="21">
        <v>5.7</v>
      </c>
      <c r="E10" s="92">
        <v>0.9</v>
      </c>
      <c r="F10" s="172">
        <v>58.5</v>
      </c>
      <c r="G10" s="21">
        <v>37.200000000000003</v>
      </c>
      <c r="H10" s="21">
        <v>3.4</v>
      </c>
      <c r="I10" s="92">
        <v>0.4</v>
      </c>
      <c r="J10" s="172">
        <v>55.1</v>
      </c>
      <c r="K10" s="21">
        <v>39.1</v>
      </c>
      <c r="L10" s="21">
        <v>3.9</v>
      </c>
      <c r="M10" s="92">
        <v>1.4</v>
      </c>
    </row>
    <row r="11" spans="1:14" ht="60" x14ac:dyDescent="0.25">
      <c r="A11" s="73" t="s">
        <v>34</v>
      </c>
      <c r="B11" s="172">
        <v>54</v>
      </c>
      <c r="C11" s="21">
        <v>40.299999999999997</v>
      </c>
      <c r="D11" s="21">
        <v>5.8</v>
      </c>
      <c r="E11" s="92">
        <v>0</v>
      </c>
      <c r="F11" s="172">
        <v>37.9</v>
      </c>
      <c r="G11" s="21">
        <v>54.9</v>
      </c>
      <c r="H11" s="21">
        <v>6.5</v>
      </c>
      <c r="I11" s="92">
        <v>0</v>
      </c>
      <c r="J11" s="172">
        <v>37.9</v>
      </c>
      <c r="K11" s="21">
        <v>49.7</v>
      </c>
      <c r="L11" s="21">
        <v>11.7</v>
      </c>
      <c r="M11" s="92">
        <v>0.7</v>
      </c>
    </row>
    <row r="12" spans="1:14" ht="45" x14ac:dyDescent="0.25">
      <c r="A12" s="73" t="s">
        <v>45</v>
      </c>
      <c r="B12" s="172">
        <v>39.6</v>
      </c>
      <c r="C12" s="21">
        <v>49.6</v>
      </c>
      <c r="D12" s="21">
        <v>9.4</v>
      </c>
      <c r="E12" s="92">
        <v>1.4</v>
      </c>
      <c r="F12" s="172">
        <v>44.8</v>
      </c>
      <c r="G12" s="21">
        <v>49.6</v>
      </c>
      <c r="H12" s="21">
        <v>4.8</v>
      </c>
      <c r="I12" s="92">
        <v>0.8</v>
      </c>
      <c r="J12" s="172">
        <v>28.4</v>
      </c>
      <c r="K12" s="21">
        <v>48.1</v>
      </c>
      <c r="L12" s="21">
        <v>19.8</v>
      </c>
      <c r="M12" s="92">
        <v>2.5</v>
      </c>
    </row>
    <row r="13" spans="1:14" ht="90" x14ac:dyDescent="0.25">
      <c r="A13" s="73" t="s">
        <v>47</v>
      </c>
      <c r="B13" s="172">
        <v>47.3</v>
      </c>
      <c r="C13" s="21">
        <v>45.7</v>
      </c>
      <c r="D13" s="21">
        <v>5.9</v>
      </c>
      <c r="E13" s="92">
        <v>0.5</v>
      </c>
      <c r="F13" s="172">
        <v>45</v>
      </c>
      <c r="G13" s="21">
        <v>43.9</v>
      </c>
      <c r="H13" s="21">
        <v>10.6</v>
      </c>
      <c r="I13" s="92">
        <v>0</v>
      </c>
      <c r="J13" s="172">
        <v>48.1</v>
      </c>
      <c r="K13" s="21">
        <v>40.9</v>
      </c>
      <c r="L13" s="21">
        <v>10.6</v>
      </c>
      <c r="M13" s="92">
        <v>0.5</v>
      </c>
    </row>
    <row r="14" spans="1:14" x14ac:dyDescent="0.25">
      <c r="A14" s="73" t="s">
        <v>35</v>
      </c>
      <c r="B14" s="172">
        <v>58.6</v>
      </c>
      <c r="C14" s="21">
        <v>34.299999999999997</v>
      </c>
      <c r="D14" s="21">
        <v>7.1</v>
      </c>
      <c r="E14" s="92">
        <v>0</v>
      </c>
      <c r="F14" s="172">
        <v>44.9</v>
      </c>
      <c r="G14" s="21">
        <v>43.8</v>
      </c>
      <c r="H14" s="21">
        <v>9</v>
      </c>
      <c r="I14" s="92">
        <v>1.1000000000000001</v>
      </c>
      <c r="J14" s="172">
        <v>47.4</v>
      </c>
      <c r="K14" s="21">
        <v>43.1</v>
      </c>
      <c r="L14" s="21">
        <v>7.8</v>
      </c>
      <c r="M14" s="92">
        <v>1.7</v>
      </c>
    </row>
    <row r="15" spans="1:14" ht="45" x14ac:dyDescent="0.25">
      <c r="A15" s="73" t="s">
        <v>42</v>
      </c>
      <c r="B15" s="172">
        <v>60</v>
      </c>
      <c r="C15" s="21">
        <v>36.700000000000003</v>
      </c>
      <c r="D15" s="21">
        <v>3.3</v>
      </c>
      <c r="E15" s="92">
        <v>0</v>
      </c>
      <c r="F15" s="172">
        <v>57.1</v>
      </c>
      <c r="G15" s="21">
        <v>38.1</v>
      </c>
      <c r="H15" s="21">
        <v>3.2</v>
      </c>
      <c r="I15" s="92">
        <v>1.6</v>
      </c>
      <c r="J15" s="172">
        <v>48.8</v>
      </c>
      <c r="K15" s="21">
        <v>41.3</v>
      </c>
      <c r="L15" s="21">
        <v>8.8000000000000007</v>
      </c>
      <c r="M15" s="92">
        <v>1.3</v>
      </c>
    </row>
    <row r="16" spans="1:14" ht="45" x14ac:dyDescent="0.25">
      <c r="A16" s="189" t="s">
        <v>36</v>
      </c>
      <c r="B16" s="174">
        <v>19.8</v>
      </c>
      <c r="C16" s="25">
        <v>54.8</v>
      </c>
      <c r="D16" s="25">
        <v>20.5</v>
      </c>
      <c r="E16" s="93">
        <v>4.5999999999999996</v>
      </c>
      <c r="F16" s="174">
        <v>27.2</v>
      </c>
      <c r="G16" s="25">
        <v>49.4</v>
      </c>
      <c r="H16" s="25">
        <v>19.399999999999999</v>
      </c>
      <c r="I16" s="93">
        <v>3.5</v>
      </c>
      <c r="J16" s="174">
        <v>23.7</v>
      </c>
      <c r="K16" s="25">
        <v>53.9</v>
      </c>
      <c r="L16" s="25">
        <v>18.600000000000001</v>
      </c>
      <c r="M16" s="93">
        <v>3.6</v>
      </c>
    </row>
    <row r="17" spans="1:13" ht="54" customHeight="1" x14ac:dyDescent="0.25">
      <c r="B17" s="232" t="s">
        <v>198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6"/>
    </row>
    <row r="18" spans="1:13" x14ac:dyDescent="0.25">
      <c r="A18" s="185"/>
      <c r="B18" s="241" t="s">
        <v>167</v>
      </c>
      <c r="C18" s="242"/>
      <c r="D18" s="242"/>
      <c r="E18" s="243"/>
      <c r="F18" s="241" t="s">
        <v>156</v>
      </c>
      <c r="G18" s="242"/>
      <c r="H18" s="242"/>
      <c r="I18" s="243"/>
      <c r="J18" s="241" t="s">
        <v>40</v>
      </c>
      <c r="K18" s="242"/>
      <c r="L18" s="242"/>
      <c r="M18" s="243"/>
    </row>
    <row r="19" spans="1:13" ht="45" x14ac:dyDescent="0.25">
      <c r="A19" s="70" t="s">
        <v>30</v>
      </c>
      <c r="B19" s="184" t="s">
        <v>199</v>
      </c>
      <c r="C19" s="182" t="s">
        <v>200</v>
      </c>
      <c r="D19" s="182" t="s">
        <v>201</v>
      </c>
      <c r="E19" s="183" t="s">
        <v>202</v>
      </c>
      <c r="F19" s="184" t="s">
        <v>199</v>
      </c>
      <c r="G19" s="182" t="s">
        <v>200</v>
      </c>
      <c r="H19" s="182" t="s">
        <v>201</v>
      </c>
      <c r="I19" s="183" t="s">
        <v>202</v>
      </c>
      <c r="J19" s="184" t="s">
        <v>199</v>
      </c>
      <c r="K19" s="182" t="s">
        <v>200</v>
      </c>
      <c r="L19" s="182" t="s">
        <v>201</v>
      </c>
      <c r="M19" s="183" t="s">
        <v>202</v>
      </c>
    </row>
    <row r="20" spans="1:13" ht="30" x14ac:dyDescent="0.25">
      <c r="A20" s="73" t="s">
        <v>43</v>
      </c>
      <c r="B20" s="172">
        <v>67.3</v>
      </c>
      <c r="C20" s="21">
        <v>30.2</v>
      </c>
      <c r="D20" s="21">
        <v>1.9</v>
      </c>
      <c r="E20" s="92">
        <v>0</v>
      </c>
      <c r="F20" s="172">
        <v>60.2</v>
      </c>
      <c r="G20" s="21">
        <v>38.200000000000003</v>
      </c>
      <c r="H20" s="21">
        <v>1.6</v>
      </c>
      <c r="I20" s="92">
        <v>0</v>
      </c>
      <c r="J20" s="172">
        <v>63.1</v>
      </c>
      <c r="K20" s="21">
        <v>33.9</v>
      </c>
      <c r="L20" s="21">
        <v>1.8</v>
      </c>
      <c r="M20" s="92">
        <v>0.6</v>
      </c>
    </row>
    <row r="21" spans="1:13" ht="45" x14ac:dyDescent="0.25">
      <c r="A21" s="73" t="s">
        <v>44</v>
      </c>
      <c r="B21" s="172">
        <v>67.3</v>
      </c>
      <c r="C21" s="21">
        <v>30.2</v>
      </c>
      <c r="D21" s="21">
        <v>1.9</v>
      </c>
      <c r="E21" s="92">
        <v>0</v>
      </c>
      <c r="F21" s="172">
        <v>41.8</v>
      </c>
      <c r="G21" s="21">
        <v>46.4</v>
      </c>
      <c r="H21" s="21">
        <v>9.1999999999999993</v>
      </c>
      <c r="I21" s="92">
        <v>2.6</v>
      </c>
      <c r="J21" s="172">
        <v>48.9</v>
      </c>
      <c r="K21" s="21">
        <v>41.1</v>
      </c>
      <c r="L21" s="21">
        <v>8.5</v>
      </c>
      <c r="M21" s="92">
        <v>0.7</v>
      </c>
    </row>
    <row r="22" spans="1:13" ht="30" x14ac:dyDescent="0.25">
      <c r="A22" s="73" t="s">
        <v>37</v>
      </c>
      <c r="B22" s="172">
        <v>57.1</v>
      </c>
      <c r="C22" s="21">
        <v>36.200000000000003</v>
      </c>
      <c r="D22" s="21">
        <v>6.1</v>
      </c>
      <c r="E22" s="92">
        <v>0.6</v>
      </c>
      <c r="F22" s="172">
        <v>50.8</v>
      </c>
      <c r="G22" s="21">
        <v>40.9</v>
      </c>
      <c r="H22" s="21">
        <v>7.2</v>
      </c>
      <c r="I22" s="92">
        <v>1.1000000000000001</v>
      </c>
      <c r="J22" s="172">
        <v>53.1</v>
      </c>
      <c r="K22" s="21">
        <v>36.6</v>
      </c>
      <c r="L22" s="21">
        <v>8.8000000000000007</v>
      </c>
      <c r="M22" s="92">
        <v>1.5</v>
      </c>
    </row>
    <row r="23" spans="1:13" ht="30" x14ac:dyDescent="0.25">
      <c r="A23" s="73" t="s">
        <v>38</v>
      </c>
      <c r="B23" s="174">
        <v>37.1</v>
      </c>
      <c r="C23" s="25">
        <v>51.9</v>
      </c>
      <c r="D23" s="25">
        <v>9.3000000000000007</v>
      </c>
      <c r="E23" s="93">
        <v>1.4</v>
      </c>
      <c r="F23" s="174">
        <v>35.200000000000003</v>
      </c>
      <c r="G23" s="25">
        <v>53.1</v>
      </c>
      <c r="H23" s="25">
        <v>10.8</v>
      </c>
      <c r="I23" s="93">
        <v>0.7</v>
      </c>
      <c r="J23" s="174">
        <v>32.799999999999997</v>
      </c>
      <c r="K23" s="25">
        <v>51.2</v>
      </c>
      <c r="L23" s="25">
        <v>12.6</v>
      </c>
      <c r="M23" s="93">
        <v>3.1</v>
      </c>
    </row>
    <row r="24" spans="1:13" x14ac:dyDescent="0.25">
      <c r="A24" s="70" t="s">
        <v>39</v>
      </c>
      <c r="B24" s="175">
        <v>43.9</v>
      </c>
      <c r="C24" s="176">
        <v>45.2</v>
      </c>
      <c r="D24" s="176">
        <v>9.3000000000000007</v>
      </c>
      <c r="E24" s="177">
        <v>1.4</v>
      </c>
      <c r="F24" s="175">
        <v>42.6</v>
      </c>
      <c r="G24" s="176">
        <v>46.1</v>
      </c>
      <c r="H24" s="176">
        <v>9.5</v>
      </c>
      <c r="I24" s="177">
        <v>1.4</v>
      </c>
      <c r="J24" s="175">
        <v>41.1</v>
      </c>
      <c r="K24" s="176">
        <v>45.4</v>
      </c>
      <c r="L24" s="176">
        <v>11.3</v>
      </c>
      <c r="M24" s="177">
        <v>2</v>
      </c>
    </row>
    <row r="25" spans="1:13" x14ac:dyDescent="0.25">
      <c r="A25" s="70" t="s">
        <v>5</v>
      </c>
      <c r="B25" s="175">
        <v>35</v>
      </c>
      <c r="C25" s="176">
        <v>47.1</v>
      </c>
      <c r="D25" s="176">
        <v>14.6</v>
      </c>
      <c r="E25" s="177">
        <v>3</v>
      </c>
      <c r="F25" s="178">
        <v>33.6</v>
      </c>
      <c r="G25" s="179">
        <v>47.2</v>
      </c>
      <c r="H25" s="179">
        <v>15.7</v>
      </c>
      <c r="I25" s="180">
        <v>3.2</v>
      </c>
      <c r="J25" s="175">
        <v>32.4</v>
      </c>
      <c r="K25" s="176">
        <v>47.1</v>
      </c>
      <c r="L25" s="176">
        <v>16.600000000000001</v>
      </c>
      <c r="M25" s="177">
        <v>3.5</v>
      </c>
    </row>
    <row r="26" spans="1:13" ht="15" customHeight="1" x14ac:dyDescent="0.25">
      <c r="A26" s="258" t="s">
        <v>213</v>
      </c>
      <c r="B26" s="258"/>
      <c r="C26" s="258"/>
      <c r="D26" s="258"/>
      <c r="E26" s="258"/>
      <c r="F26" s="258"/>
    </row>
  </sheetData>
  <mergeCells count="10">
    <mergeCell ref="A1:M1"/>
    <mergeCell ref="B4:E4"/>
    <mergeCell ref="F4:I4"/>
    <mergeCell ref="B3:M3"/>
    <mergeCell ref="A26:F26"/>
    <mergeCell ref="B17:M17"/>
    <mergeCell ref="B18:E18"/>
    <mergeCell ref="F18:I18"/>
    <mergeCell ref="J18:M18"/>
    <mergeCell ref="J4:M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Copertina</vt:lpstr>
      <vt:lpstr>Ateneo</vt:lpstr>
      <vt:lpstr>Dipartimenti</vt:lpstr>
      <vt:lpstr>CdS</vt:lpstr>
      <vt:lpstr>Strutture</vt:lpstr>
      <vt:lpstr>Organizzazione esami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2020-06-10T12:10:22Z</dcterms:modified>
</cp:coreProperties>
</file>