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W:\Ufficio valutazione NdV\Relazioni Nuclei\Nuclei 2025\Allegati\"/>
    </mc:Choice>
  </mc:AlternateContent>
  <xr:revisionPtr revIDLastSave="0" documentId="13_ncr:1_{A2B0DC6E-1819-48CE-B2E2-614659C1CE25}" xr6:coauthVersionLast="36" xr6:coauthVersionMax="36" xr10:uidLastSave="{00000000-0000-0000-0000-000000000000}"/>
  <bookViews>
    <workbookView xWindow="0" yWindow="0" windowWidth="28740" windowHeight="11265" xr2:uid="{00000000-000D-0000-FFFF-FFFF00000000}"/>
  </bookViews>
  <sheets>
    <sheet name="Copertina" sheetId="1" r:id="rId1"/>
    <sheet name="Ateneo" sheetId="2" r:id="rId2"/>
    <sheet name="Dipartimenti" sheetId="3" r:id="rId3"/>
    <sheet name="Grafici Dipartimenti" sheetId="4" r:id="rId4"/>
    <sheet name="CdS" sheetId="5" r:id="rId5"/>
    <sheet name="Grafici soddisfazione CdS" sheetId="6" r:id="rId6"/>
    <sheet name="Grafici correlazione CdS" sheetId="7" r:id="rId7"/>
    <sheet name="Strutture" sheetId="8" r:id="rId8"/>
    <sheet name="Strutture Dipartimenti" sheetId="9" r:id="rId9"/>
    <sheet name="Organizzazione esami" sheetId="10" r:id="rId10"/>
    <sheet name="Grafico organizzazione esami" sheetId="11" r:id="rId11"/>
  </sheets>
  <definedNames>
    <definedName name="_xlnm.Print_Area" localSheetId="6">'Grafici correlazione CdS'!$A$1:$T$124</definedName>
    <definedName name="_xlnm.Print_Area" localSheetId="3">'Grafici Dipartimenti'!$A$1:$K$159</definedName>
    <definedName name="_xlnm.Print_Area" localSheetId="10">'Grafico organizzazione esami'!$A$1:$Q$83</definedName>
  </definedNames>
  <calcPr calcId="191029"/>
  <extLst>
    <ext uri="GoogleSheetsCustomDataVersion2">
      <go:sheetsCustomData xmlns:go="http://customooxmlschemas.google.com/" r:id="rId15" roundtripDataChecksum="K71W2K35f5J4sufbqo4gQTfPKnimRnYSSoBtj3i6Gc8="/>
    </ext>
  </extLst>
</workbook>
</file>

<file path=xl/calcChain.xml><?xml version="1.0" encoding="utf-8"?>
<calcChain xmlns="http://schemas.openxmlformats.org/spreadsheetml/2006/main">
  <c r="L92" i="5" l="1"/>
  <c r="J92" i="5"/>
  <c r="H92" i="5"/>
  <c r="L91" i="5"/>
  <c r="J91" i="5"/>
  <c r="H91" i="5"/>
  <c r="L90" i="5"/>
  <c r="J90" i="5"/>
  <c r="H90" i="5"/>
  <c r="L89" i="5"/>
  <c r="J89" i="5"/>
  <c r="H89" i="5"/>
  <c r="L88" i="5"/>
  <c r="J88" i="5"/>
  <c r="H88" i="5"/>
  <c r="L87" i="5"/>
  <c r="J87" i="5"/>
  <c r="H87" i="5"/>
  <c r="L84" i="5"/>
  <c r="J84" i="5"/>
  <c r="H84" i="5"/>
  <c r="L83" i="5"/>
  <c r="J83" i="5"/>
  <c r="H83" i="5"/>
  <c r="L82" i="5"/>
  <c r="K82" i="5"/>
  <c r="J82" i="5"/>
  <c r="H82" i="5"/>
  <c r="L81" i="5"/>
  <c r="J81" i="5"/>
  <c r="I81" i="5"/>
  <c r="H81" i="5"/>
  <c r="G81" i="5"/>
  <c r="L80" i="5"/>
  <c r="J80" i="5"/>
  <c r="H80" i="5"/>
  <c r="L79" i="5"/>
  <c r="J79" i="5"/>
  <c r="H79" i="5"/>
  <c r="L78" i="5"/>
  <c r="J78" i="5"/>
  <c r="H78" i="5"/>
  <c r="L77" i="5"/>
  <c r="J77" i="5"/>
  <c r="H77" i="5"/>
  <c r="L76" i="5"/>
  <c r="J76" i="5"/>
  <c r="H76" i="5"/>
  <c r="L75" i="5"/>
  <c r="J75" i="5"/>
  <c r="H75" i="5"/>
  <c r="L74" i="5"/>
  <c r="J74" i="5"/>
  <c r="H74" i="5"/>
  <c r="L73" i="5"/>
  <c r="J73" i="5"/>
  <c r="H73" i="5"/>
  <c r="L72" i="5"/>
  <c r="J72" i="5"/>
  <c r="H72" i="5"/>
  <c r="L69" i="5"/>
  <c r="J69" i="5"/>
  <c r="H69" i="5"/>
  <c r="L68" i="5"/>
  <c r="J68" i="5"/>
  <c r="H68" i="5"/>
  <c r="L67" i="5"/>
  <c r="J67" i="5"/>
  <c r="H67" i="5"/>
  <c r="L66" i="5"/>
  <c r="J66" i="5"/>
  <c r="H66" i="5"/>
  <c r="L65" i="5"/>
  <c r="J65" i="5"/>
  <c r="H65" i="5"/>
  <c r="L64" i="5"/>
  <c r="J64" i="5"/>
  <c r="H64" i="5"/>
  <c r="L63" i="5"/>
  <c r="J63" i="5"/>
  <c r="H63" i="5"/>
  <c r="L62" i="5"/>
  <c r="J62" i="5"/>
  <c r="H62" i="5"/>
  <c r="L61" i="5"/>
  <c r="J61" i="5"/>
  <c r="H61" i="5"/>
  <c r="L60" i="5"/>
  <c r="J60" i="5"/>
  <c r="H60" i="5"/>
  <c r="L57" i="5"/>
  <c r="J57" i="5"/>
  <c r="H57" i="5"/>
  <c r="L56" i="5"/>
  <c r="J56" i="5"/>
  <c r="H56" i="5"/>
  <c r="L55" i="5"/>
  <c r="J55" i="5"/>
  <c r="H55" i="5"/>
  <c r="L54" i="5"/>
  <c r="J54" i="5"/>
  <c r="H54" i="5"/>
  <c r="L53" i="5"/>
  <c r="J53" i="5"/>
  <c r="H53" i="5"/>
  <c r="L52" i="5"/>
  <c r="J52" i="5"/>
  <c r="H52" i="5"/>
  <c r="L51" i="5"/>
  <c r="J51" i="5"/>
  <c r="H51" i="5"/>
  <c r="L50" i="5"/>
  <c r="J50" i="5"/>
  <c r="H50" i="5"/>
  <c r="L49" i="5"/>
  <c r="J49" i="5"/>
  <c r="H49" i="5"/>
  <c r="L48" i="5"/>
  <c r="J48" i="5"/>
  <c r="H48" i="5"/>
  <c r="L47" i="5"/>
  <c r="J47" i="5"/>
  <c r="H47" i="5"/>
  <c r="L46" i="5"/>
  <c r="J46" i="5"/>
  <c r="H46" i="5"/>
  <c r="L45" i="5"/>
  <c r="J45" i="5"/>
  <c r="H45" i="5"/>
  <c r="L44" i="5"/>
  <c r="J44" i="5"/>
  <c r="H44" i="5"/>
  <c r="L41" i="5"/>
  <c r="J41" i="5"/>
  <c r="H41" i="5"/>
  <c r="L40" i="5"/>
  <c r="J40" i="5"/>
  <c r="H40" i="5"/>
  <c r="L39" i="5"/>
  <c r="J39" i="5"/>
  <c r="H39" i="5"/>
  <c r="L36" i="5"/>
  <c r="J36" i="5"/>
  <c r="H36" i="5"/>
  <c r="L35" i="5"/>
  <c r="J35" i="5"/>
  <c r="H35" i="5"/>
  <c r="L34" i="5"/>
  <c r="J34" i="5"/>
  <c r="H34" i="5"/>
  <c r="L33" i="5"/>
  <c r="J33" i="5"/>
  <c r="H33" i="5"/>
  <c r="L32" i="5"/>
  <c r="J32" i="5"/>
  <c r="H32" i="5"/>
  <c r="L31" i="5"/>
  <c r="J31" i="5"/>
  <c r="H31" i="5"/>
  <c r="L30" i="5"/>
  <c r="J30" i="5"/>
  <c r="H30" i="5"/>
  <c r="L29" i="5"/>
  <c r="J29" i="5"/>
  <c r="H29" i="5"/>
  <c r="L28" i="5"/>
  <c r="J28" i="5"/>
  <c r="H28" i="5"/>
  <c r="L27" i="5"/>
  <c r="J27" i="5"/>
  <c r="H27" i="5"/>
  <c r="L26" i="5"/>
  <c r="J26" i="5"/>
  <c r="H26" i="5"/>
  <c r="L23" i="5"/>
  <c r="J23" i="5"/>
  <c r="H23" i="5"/>
  <c r="L22" i="5"/>
  <c r="J22" i="5"/>
  <c r="H22" i="5"/>
  <c r="L21" i="5"/>
  <c r="J21" i="5"/>
  <c r="H21" i="5"/>
  <c r="L20" i="5"/>
  <c r="J20" i="5"/>
  <c r="H20" i="5"/>
  <c r="L19" i="5"/>
  <c r="J19" i="5"/>
  <c r="H19" i="5"/>
  <c r="L18" i="5"/>
  <c r="J18" i="5"/>
  <c r="H18" i="5"/>
  <c r="L17" i="5"/>
  <c r="J17" i="5"/>
  <c r="H17" i="5"/>
  <c r="L16" i="5"/>
  <c r="J16" i="5"/>
  <c r="H16" i="5"/>
  <c r="L13" i="5"/>
  <c r="J13" i="5"/>
  <c r="H13" i="5"/>
  <c r="L12" i="5"/>
  <c r="J12" i="5"/>
  <c r="H12" i="5"/>
  <c r="L11" i="5"/>
  <c r="J11" i="5"/>
  <c r="H11" i="5"/>
  <c r="L10" i="5"/>
  <c r="J10" i="5"/>
  <c r="H10" i="5"/>
  <c r="L9" i="5"/>
  <c r="J9" i="5"/>
  <c r="H9" i="5"/>
  <c r="L8" i="5"/>
  <c r="J8" i="5"/>
  <c r="H8" i="5"/>
  <c r="L7" i="5"/>
  <c r="J7" i="5"/>
  <c r="H7" i="5"/>
  <c r="L6" i="5"/>
  <c r="J6" i="5"/>
  <c r="H6" i="5"/>
  <c r="L5" i="5"/>
  <c r="J5" i="5"/>
  <c r="H5" i="5"/>
  <c r="N19" i="3"/>
  <c r="J19" i="3"/>
  <c r="I19" i="3"/>
  <c r="H19" i="3"/>
  <c r="G19" i="3"/>
  <c r="F19" i="3"/>
  <c r="E19" i="3"/>
  <c r="D19" i="3"/>
  <c r="C19" i="3"/>
  <c r="N18" i="3"/>
  <c r="J18" i="3"/>
  <c r="I18" i="3"/>
  <c r="H18" i="3"/>
  <c r="G18" i="3"/>
  <c r="F18" i="3"/>
  <c r="B18" i="3"/>
  <c r="N17" i="3"/>
  <c r="J17" i="3"/>
  <c r="I17" i="3"/>
  <c r="H17" i="3"/>
  <c r="G17" i="3"/>
  <c r="N16" i="3"/>
  <c r="J16" i="3"/>
  <c r="I16" i="3"/>
  <c r="H16" i="3"/>
  <c r="G16" i="3"/>
  <c r="N15" i="3"/>
  <c r="J15" i="3"/>
  <c r="I15" i="3"/>
  <c r="H15" i="3"/>
  <c r="G15" i="3"/>
  <c r="N14" i="3"/>
  <c r="J14" i="3"/>
  <c r="I14" i="3"/>
  <c r="H14" i="3"/>
  <c r="G14" i="3"/>
  <c r="N13" i="3"/>
  <c r="J13" i="3"/>
  <c r="I13" i="3"/>
  <c r="H13" i="3"/>
  <c r="G13" i="3"/>
  <c r="N12" i="3"/>
  <c r="J12" i="3"/>
  <c r="I12" i="3"/>
  <c r="H12" i="3"/>
  <c r="G12" i="3"/>
  <c r="N11" i="3"/>
  <c r="J11" i="3"/>
  <c r="I11" i="3"/>
  <c r="H11" i="3"/>
  <c r="G11" i="3"/>
  <c r="N10" i="3"/>
  <c r="J10" i="3"/>
  <c r="I10" i="3"/>
  <c r="H10" i="3"/>
  <c r="G10" i="3"/>
  <c r="N9" i="3"/>
  <c r="J9" i="3"/>
  <c r="I9" i="3"/>
  <c r="H9" i="3"/>
  <c r="G9" i="3"/>
  <c r="N8" i="3"/>
  <c r="J8" i="3"/>
  <c r="I8" i="3"/>
  <c r="H8" i="3"/>
  <c r="G8" i="3"/>
  <c r="N7" i="3"/>
  <c r="J7" i="3"/>
  <c r="I7" i="3"/>
  <c r="H7" i="3"/>
  <c r="G7" i="3"/>
  <c r="N6" i="3"/>
  <c r="J6" i="3"/>
  <c r="I6" i="3"/>
  <c r="H6" i="3"/>
  <c r="G6" i="3"/>
  <c r="N5" i="3"/>
  <c r="J5" i="3"/>
  <c r="I5" i="3"/>
  <c r="H5" i="3"/>
  <c r="G5" i="3"/>
  <c r="N4" i="3"/>
  <c r="J4" i="3"/>
  <c r="I4" i="3"/>
  <c r="H4" i="3"/>
  <c r="G4" i="3"/>
  <c r="G38" i="2"/>
  <c r="E38" i="2"/>
  <c r="C38" i="2"/>
  <c r="G37" i="2"/>
  <c r="E37" i="2"/>
  <c r="C37" i="2"/>
  <c r="G36" i="2"/>
  <c r="E36" i="2"/>
  <c r="C36" i="2"/>
  <c r="G35" i="2"/>
  <c r="E35" i="2"/>
  <c r="C35" i="2"/>
</calcChain>
</file>

<file path=xl/sharedStrings.xml><?xml version="1.0" encoding="utf-8"?>
<sst xmlns="http://schemas.openxmlformats.org/spreadsheetml/2006/main" count="688" uniqueCount="246">
  <si>
    <t>Allegato statistico rilevazione opinione laureande e laureandi</t>
  </si>
  <si>
    <t>Relazione annuale 2025 dei Nuclei di Valutazione interna (D. Lgs. 19/2012, art. 12 e art. 14)</t>
  </si>
  <si>
    <t>Nucleo di Valutazione Università degli Studi di Siena</t>
  </si>
  <si>
    <t xml:space="preserve">Tabella 1: Partecipazione di chi ha conseguito il titolo nel 2023 e nel 2022 al questionario per tipologia di laurea </t>
  </si>
  <si>
    <t>Anno 2023</t>
  </si>
  <si>
    <t>Anno 2022</t>
  </si>
  <si>
    <t>Tipologia di laurea</t>
  </si>
  <si>
    <t>Numero laureate/i</t>
  </si>
  <si>
    <t>Tasso di compilazione (%)</t>
  </si>
  <si>
    <t>Unisi</t>
  </si>
  <si>
    <t>Nazionale</t>
  </si>
  <si>
    <t>Corsi di Laurea  triennali</t>
  </si>
  <si>
    <t xml:space="preserve">Corsi di Laurea magistrale (biennali) </t>
  </si>
  <si>
    <t>Corsi di Laurea magistrale  a Ciclo unico</t>
  </si>
  <si>
    <t>Tutti i tipi di CdS*</t>
  </si>
  <si>
    <t>Fonte: AlmaLaurea</t>
  </si>
  <si>
    <t>*Il totale di Ateneo comprende anche i CdS ad esaurimento</t>
  </si>
  <si>
    <t xml:space="preserve">Tabella 2: Profilo laureate/i anno solare 2023 per tipologia di laurea </t>
  </si>
  <si>
    <t>% femmine</t>
  </si>
  <si>
    <t>% residenti altra regione</t>
  </si>
  <si>
    <t>% cittadinanza straniera</t>
  </si>
  <si>
    <t>Tutti i tipi di CdS</t>
  </si>
  <si>
    <t>Tabella 3: Indicatori performance accademica per tipologia di laurea</t>
  </si>
  <si>
    <t xml:space="preserve">Età media alla laurea </t>
  </si>
  <si>
    <t>Voto medio di laurea</t>
  </si>
  <si>
    <t>% laureate/i in corso</t>
  </si>
  <si>
    <t xml:space="preserve">Tutti i tipi di CdS </t>
  </si>
  <si>
    <t>Tab 4: Grado di soddisfazione complessiva e per singoli aspetti per tipologia di CdS</t>
  </si>
  <si>
    <t>CdS per tipologia</t>
  </si>
  <si>
    <t>Sono complessivamente soddisfatti del CdS (%)</t>
  </si>
  <si>
    <t>Sono soddisfatti dei rapporti con i docenti in generale (%)</t>
  </si>
  <si>
    <t>Ritengono che il carico di studio degli insegnamenti adeguato alla durata del CdS (%)</t>
  </si>
  <si>
    <t>Tab 5 Percentuali di risposta alla domanda "Si iscriverebbe di nuovo all'Università?" per anno di laurea confrontate con valore nazionale per tipologia di CdS</t>
  </si>
  <si>
    <t>Si iscriverebbero di nuovo all'Università? (%)</t>
  </si>
  <si>
    <t>sì, allo stesso corso dell'Ateneo</t>
  </si>
  <si>
    <t>sì, ma ad un altro corso dell'Ateneo</t>
  </si>
  <si>
    <t>sì, allo stesso corso ma in un altro Ateneo</t>
  </si>
  <si>
    <t>sì, ma ad un altro corso in un altro Ateneo</t>
  </si>
  <si>
    <t>non si iscriverebbero più all'università</t>
  </si>
  <si>
    <t>Tabella 6: Adesione a programmi di mobilità internazionale laureande/i quariennio 2020-2023 per tipologia di laurea</t>
  </si>
  <si>
    <t>Laureande/i 2023</t>
  </si>
  <si>
    <t>Laureande/i 2022</t>
  </si>
  <si>
    <t>Laureande/i 2021</t>
  </si>
  <si>
    <t>Laureande/i 2020</t>
  </si>
  <si>
    <t>Hanno svolto periodi di studio all'estero durante il CdS (%)</t>
  </si>
  <si>
    <t>di cui con Erasmus o altro programma dell'Unione Europea (%)</t>
  </si>
  <si>
    <t xml:space="preserve">Hanno 1 o più esami all'estero convalidati (per 100 che hanno svolto esperienze di studio all'estero riconosciute dal CdS) </t>
  </si>
  <si>
    <t>Tabella 7: Percentuali di giudizi positivi (decisamente sì + più sì che no) ad alcuni quesiti laureande/i triennio 2021-2023 per Dipartimento</t>
  </si>
  <si>
    <t>Dipartimento</t>
  </si>
  <si>
    <t>N. Laureate/i</t>
  </si>
  <si>
    <t>Sono complessivamente soddisfatti del CdL/CdLM (%)</t>
  </si>
  <si>
    <t>Sono soddisfatti dei servizi delle segreterie studenti
(per 100 fruitori)</t>
  </si>
  <si>
    <t>Biotecnologie mediche</t>
  </si>
  <si>
    <t>Biotecnologie, Chimica e Farmacia</t>
  </si>
  <si>
    <t>Economia politica e Statistica</t>
  </si>
  <si>
    <t>Filologia e Critica delle Letterature antiche e moderne</t>
  </si>
  <si>
    <t>Giurisprudenza</t>
  </si>
  <si>
    <t>Ingegneria dell’Informazione e Scienze matematiche</t>
  </si>
  <si>
    <t>Medicina molecolare e dello Sviluppo</t>
  </si>
  <si>
    <t>Scienze della Vita</t>
  </si>
  <si>
    <t>Scienze fisiche, della Terra e dell'Ambiente</t>
  </si>
  <si>
    <t>Scienze mediche, chirurgiche e Neuroscienze</t>
  </si>
  <si>
    <t>Scienze politiche e internazionali</t>
  </si>
  <si>
    <t>Scienze sociali, politiche e cognitive</t>
  </si>
  <si>
    <t>Scienze storiche e dei Beni culturali</t>
  </si>
  <si>
    <t>Studi aziendali e giuridici</t>
  </si>
  <si>
    <t>Ateneo</t>
  </si>
  <si>
    <t>Grafico 1</t>
  </si>
  <si>
    <t>Grafico 2</t>
  </si>
  <si>
    <t>Grafico 3</t>
  </si>
  <si>
    <t>Grafico 4</t>
  </si>
  <si>
    <t xml:space="preserve">Tabella 8: Tasso di risposta al questionario Profilo Laureati AlmaLaurea laureande/i 2023 e percentuali di giudizi positivi (decisamente sì + più sì che no) ad alcuni quesiti per Corso di Studio, confrontati con il valore nazionale della classe </t>
  </si>
  <si>
    <t>CdS</t>
  </si>
  <si>
    <t>Classe</t>
  </si>
  <si>
    <t>Numero laureate/i 2023</t>
  </si>
  <si>
    <t>Si iscriverebbero di nuovo allo stesso Corso dello stesso Ateneo (%)</t>
  </si>
  <si>
    <t>Italia</t>
  </si>
  <si>
    <t>Agribusiness***</t>
  </si>
  <si>
    <t>L-25</t>
  </si>
  <si>
    <t>Biotecnologie</t>
  </si>
  <si>
    <t>L-2</t>
  </si>
  <si>
    <t>Dietistica (Abilitante alla Professione sanitaria di Dietista)</t>
  </si>
  <si>
    <t>L/SNT3</t>
  </si>
  <si>
    <t>Economia e Commercio</t>
  </si>
  <si>
    <t>L-18</t>
  </si>
  <si>
    <t>Fisica e Tecnologie avanzate</t>
  </si>
  <si>
    <t>L-30</t>
  </si>
  <si>
    <t>Fisioterapia (Abilitante alla Professione sanitaria di Fisioterapista)</t>
  </si>
  <si>
    <t>L/SNT2</t>
  </si>
  <si>
    <t>Igiene Dentale (Abilitante alla Professione sanitaria di Igienista dentale)</t>
  </si>
  <si>
    <t>Infermieristica (Abilitante alla Professione sanitaria di Infermiere)</t>
  </si>
  <si>
    <t>L/SNT1</t>
  </si>
  <si>
    <t>Ingegneria gestionale</t>
  </si>
  <si>
    <t>L-8</t>
  </si>
  <si>
    <t>Ingegneria informatica e dell'Informazione</t>
  </si>
  <si>
    <t>Lingue per la Comunicazione interculturale e d'Impresa</t>
  </si>
  <si>
    <t>L-11</t>
  </si>
  <si>
    <t>Logopedia (Abilitante alla Professione sanitaria di Logopedista)</t>
  </si>
  <si>
    <t>Matematica</t>
  </si>
  <si>
    <t>L-35</t>
  </si>
  <si>
    <t>Ortottica ed Assistenza oftalmologica (Abilitante alla Professione sanitaria di Ortottista ed Assistente di Oftalmologia)</t>
  </si>
  <si>
    <t>Ostetricia (Abilitante alla Professione Sanitaria di Ostetrica/o)</t>
  </si>
  <si>
    <t>Scienze ambientali e naturali</t>
  </si>
  <si>
    <t>L-32</t>
  </si>
  <si>
    <t>Scienze biologiche</t>
  </si>
  <si>
    <t>L-13</t>
  </si>
  <si>
    <t>Scienze chimiche</t>
  </si>
  <si>
    <t>L-27</t>
  </si>
  <si>
    <t>Scienze del Servizio sociale</t>
  </si>
  <si>
    <t>L-39</t>
  </si>
  <si>
    <t>Scienze dell'Educazione e della Formazione</t>
  </si>
  <si>
    <t>L-19</t>
  </si>
  <si>
    <t>Scienze della Comunicazione</t>
  </si>
  <si>
    <t>L-20</t>
  </si>
  <si>
    <t>Scienze economiche e bancarie</t>
  </si>
  <si>
    <t>L-33</t>
  </si>
  <si>
    <t>Scienze geologiche</t>
  </si>
  <si>
    <t>L-34</t>
  </si>
  <si>
    <t>Scienze politiche</t>
  </si>
  <si>
    <t>L-36</t>
  </si>
  <si>
    <t>Scienze storiche e del Patrimonio culturale</t>
  </si>
  <si>
    <t>L-1</t>
  </si>
  <si>
    <t>Servizi giuridici</t>
  </si>
  <si>
    <t>L-14</t>
  </si>
  <si>
    <t>Studi letterari e filosofici</t>
  </si>
  <si>
    <t>L-10</t>
  </si>
  <si>
    <t>Tecniche della Prevenzione nell'Ambiente e nei Luoghi di Lavoro (Abilitante alla Professione sanitaria di Tecnico della Prevenzione nell'Ambiente e nei Luoghi di Lavoro)</t>
  </si>
  <si>
    <t>L/SNT4</t>
  </si>
  <si>
    <t>Tecniche di Fisiopatologia Cardiocircolatoria e Perfusione cardiovascolare (Abilitante alla Professione sanitaria di Tecnico di Fisiopatologia cardiocircolatoria e Perfusione cardiovascolare)*</t>
  </si>
  <si>
    <t>*</t>
  </si>
  <si>
    <t>Tecniche di Laboratorio Biomedico (Abilitante alla Professione sanitaria di Tecnico di Laboratorio biomedico)</t>
  </si>
  <si>
    <t>Tecniche di Radiologia medica, per Immagini e Radioterapia (Abilitante alla Professione sanitaria di Tecnico di Radiologia medica)</t>
  </si>
  <si>
    <t>Ritengono che il carico di studio degli insegnamenti sia stato sostenibile (%)</t>
  </si>
  <si>
    <t>Antropologia e Linguaggi dell'Immagine</t>
  </si>
  <si>
    <t>LM-1</t>
  </si>
  <si>
    <t xml:space="preserve">Applied Mathematics-Matematica applicata </t>
  </si>
  <si>
    <t>LM-40</t>
  </si>
  <si>
    <t>Archeologia</t>
  </si>
  <si>
    <t>LM-2</t>
  </si>
  <si>
    <t xml:space="preserve">Artificial Intelligence and automation Engineering </t>
  </si>
  <si>
    <t>LM-32</t>
  </si>
  <si>
    <t>Biodiversity, Conservation and Environmental Quality****</t>
  </si>
  <si>
    <t>LM-6</t>
  </si>
  <si>
    <t>Biologia</t>
  </si>
  <si>
    <t>Biologia sanitaria</t>
  </si>
  <si>
    <t>Biotechnologies of Human Reproduction</t>
  </si>
  <si>
    <t>LM-9</t>
  </si>
  <si>
    <t>Chemistry-Chimica</t>
  </si>
  <si>
    <t>LM-54</t>
  </si>
  <si>
    <t>Economia e Gestione degli Intermediari finanziari</t>
  </si>
  <si>
    <t>LM-77</t>
  </si>
  <si>
    <t>Economia per l'Ambiente e la Sostenibilità</t>
  </si>
  <si>
    <t>LM-56</t>
  </si>
  <si>
    <t>Economics</t>
  </si>
  <si>
    <t>Ecotossicologia e Sostenibilità ambientale</t>
  </si>
  <si>
    <t>LM-75</t>
  </si>
  <si>
    <t>Electronics And communications Engineering*</t>
  </si>
  <si>
    <t>LM-27</t>
  </si>
  <si>
    <t>Tasso di risposta (%)</t>
  </si>
  <si>
    <t xml:space="preserve">Engineering management </t>
  </si>
  <si>
    <t>LM-31</t>
  </si>
  <si>
    <t>Finance - Finanza</t>
  </si>
  <si>
    <t>LM-16</t>
  </si>
  <si>
    <t>Genetic Counsellors</t>
  </si>
  <si>
    <t>International Accounting and Management</t>
  </si>
  <si>
    <t xml:space="preserve">Languange and Mind: Linguistics and cognitive Studies - Mente e Linguaggio: linguistica e Studi cognitivi </t>
  </si>
  <si>
    <t>LM-39</t>
  </si>
  <si>
    <t>Lettere classiche</t>
  </si>
  <si>
    <t>LM-15</t>
  </si>
  <si>
    <t>Lettere moderne</t>
  </si>
  <si>
    <t>LM-14</t>
  </si>
  <si>
    <t>Management e Governance</t>
  </si>
  <si>
    <t>Medical Biotechnologies - Biotecnologie mediche</t>
  </si>
  <si>
    <t>Pubblic and cultural Diplomacy - Diplomazia pubblica e culturale</t>
  </si>
  <si>
    <t>LM-81</t>
  </si>
  <si>
    <t>Scienze delle Amministrazioni</t>
  </si>
  <si>
    <t>LM-63</t>
  </si>
  <si>
    <t>Scienze e Tecnologie geologiche</t>
  </si>
  <si>
    <t>LM-74</t>
  </si>
  <si>
    <t>Scienze infermieristiche e ostetriche</t>
  </si>
  <si>
    <t>LM/SNT1</t>
  </si>
  <si>
    <t>Scienze internazionali</t>
  </si>
  <si>
    <t>LM-52</t>
  </si>
  <si>
    <t>Scienze per la Formazione e la Consulenza pedagogica nelle Organizzazioni</t>
  </si>
  <si>
    <t>LM-85</t>
  </si>
  <si>
    <t>Scienze riabilitative delle Professioni sanitarie</t>
  </si>
  <si>
    <t>LM/SNT2</t>
  </si>
  <si>
    <t>Metodi statistici e Data Analytics</t>
  </si>
  <si>
    <t>LM-82</t>
  </si>
  <si>
    <t>Sostenibilità sociale e Management del welfare</t>
  </si>
  <si>
    <t>LM-87</t>
  </si>
  <si>
    <t>Storia dell'Arte</t>
  </si>
  <si>
    <t>LM-89</t>
  </si>
  <si>
    <t>Storia e Filosofia (interclasse)</t>
  </si>
  <si>
    <t xml:space="preserve">LM-78 </t>
  </si>
  <si>
    <t>LM-84</t>
  </si>
  <si>
    <t>Strategie e Tecniche della Comunicazione</t>
  </si>
  <si>
    <t>LM-92</t>
  </si>
  <si>
    <t>Sustainable industrial pharmaceutical Biotechnology</t>
  </si>
  <si>
    <t>LM-8</t>
  </si>
  <si>
    <t>Chimica e Tecnologia farmaceutiche</t>
  </si>
  <si>
    <t>LM-13</t>
  </si>
  <si>
    <t xml:space="preserve">Dentistry and dental prosthodontics </t>
  </si>
  <si>
    <t>LM-46</t>
  </si>
  <si>
    <t>Farmacia</t>
  </si>
  <si>
    <t>LMG/01</t>
  </si>
  <si>
    <t>Medicina e Chirurgia</t>
  </si>
  <si>
    <t>LM-41</t>
  </si>
  <si>
    <t>Ateneo**</t>
  </si>
  <si>
    <t>*I dati non vengono visualizzati per collettivi con meno di 5 laureati.</t>
  </si>
  <si>
    <t>**Il totale di Ateneo comprende anche i CdS ad esaurimento</t>
  </si>
  <si>
    <t>*** Dall'a.a. 2021/2022 il CdS è stato istituito nella (Classe L-P02)</t>
  </si>
  <si>
    <t>**** CdS attivato nell'a.a. 2021/2022</t>
  </si>
  <si>
    <t>Grafico 5</t>
  </si>
  <si>
    <t>* La linea rossa tratteggiata rappresenta la media di Ateneo</t>
  </si>
  <si>
    <t>Grafico 6</t>
  </si>
  <si>
    <t>Grafico 7</t>
  </si>
  <si>
    <t xml:space="preserve">Grafico 8 </t>
  </si>
  <si>
    <t>* La linea rossa tratteggiata rappresenta la media dei valori</t>
  </si>
  <si>
    <t>Grafico 9</t>
  </si>
  <si>
    <t>Grafico 10</t>
  </si>
  <si>
    <t>Tabella 9: Valutazione delle strutture dell'Ateneo e confronto con valore nazionale laureande/i quadriennio 2020-2023</t>
  </si>
  <si>
    <t>Valutazione delle aule (per 100 fruitori)</t>
  </si>
  <si>
    <t>Sempre o quasi sempre adeguate</t>
  </si>
  <si>
    <t xml:space="preserve">Spesso adeguate </t>
  </si>
  <si>
    <t xml:space="preserve">Sempre o quasi sempre adeguate </t>
  </si>
  <si>
    <t>Valutazione delle postazioni informatiche (per 100 fruitori)</t>
  </si>
  <si>
    <t>In numero adeguato</t>
  </si>
  <si>
    <t xml:space="preserve">In numero inadeguato </t>
  </si>
  <si>
    <t>Valutazione dei servizi di biblioteca (per 100 fruitori)</t>
  </si>
  <si>
    <t xml:space="preserve">Decisamente positiva </t>
  </si>
  <si>
    <t xml:space="preserve">Abbastanza positiva </t>
  </si>
  <si>
    <t>Decisamente positiva</t>
  </si>
  <si>
    <t>Valutazione delle attrezzature per le altre attività didattiche (laboratori, attività pratiche, …) (per 100 fruitori)</t>
  </si>
  <si>
    <t>Valutazione degli spazi dedicati allo studio individuale
(per 100 fruitori)</t>
  </si>
  <si>
    <t>Adeguati</t>
  </si>
  <si>
    <t>Inadeguati</t>
  </si>
  <si>
    <t>Tabella 10: Valutazione delle strutture dell'Ateneo per Dipartimento laureande/i 2023</t>
  </si>
  <si>
    <t>Tabella 11: Valutazione dell'organizzazione degli esami per Dipartimento laureande/i Unisi quadriennio 2020-2023</t>
  </si>
  <si>
    <t>Hanno ritenuto l'organizzazione degli esami (appelli, orari, informazioni, prenotazioni, ...) soddisfacente (%)</t>
  </si>
  <si>
    <t>Sempre o quasi sempre</t>
  </si>
  <si>
    <t>Per più della metà degli esami</t>
  </si>
  <si>
    <t>Per meno della metà degli esami</t>
  </si>
  <si>
    <t>Mai o quasi mai</t>
  </si>
  <si>
    <t>Grafico 11</t>
  </si>
  <si>
    <t>Grafico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</si>
</sst>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18">
    <font>
      <sz val="11"/>
      <color theme="1"/>
      <name val="Calibri"/>
      <scheme val="minor"/>
    </font>
    <font>
      <sz val="11"/>
      <color theme="1"/>
      <name val="Calibri"/>
    </font>
    <font>
      <sz val="11"/>
      <color rgb="FFFF0000"/>
      <name val="Calibri"/>
    </font>
    <font>
      <b/>
      <sz val="16"/>
      <color theme="1"/>
      <name val="Calibri"/>
    </font>
    <font>
      <b/>
      <sz val="12"/>
      <color theme="1"/>
      <name val="Calibri"/>
    </font>
    <font>
      <b/>
      <sz val="18"/>
      <color theme="1"/>
      <name val="Calibri"/>
    </font>
    <font>
      <sz val="11"/>
      <name val="Calibri"/>
    </font>
    <font>
      <b/>
      <sz val="14"/>
      <color theme="1"/>
      <name val="Calibri"/>
    </font>
    <font>
      <b/>
      <sz val="11"/>
      <color theme="1"/>
      <name val="Calibri"/>
    </font>
    <font>
      <b/>
      <sz val="11"/>
      <color rgb="FF000000"/>
      <name val="Calibri"/>
    </font>
    <font>
      <sz val="9"/>
      <color theme="1"/>
      <name val="Calibri"/>
    </font>
    <font>
      <sz val="11"/>
      <color rgb="FF000000"/>
      <name val="Calibri"/>
    </font>
    <font>
      <sz val="9"/>
      <color rgb="FF000000"/>
      <name val="Calibri"/>
    </font>
    <font>
      <sz val="10"/>
      <color theme="1"/>
      <name val="Calibri"/>
    </font>
    <font>
      <sz val="12"/>
      <color rgb="FF000000"/>
      <name val="Calibri"/>
    </font>
    <font>
      <b/>
      <u/>
      <sz val="11"/>
      <color rgb="FF000000"/>
      <name val="Calibri"/>
    </font>
    <font>
      <i/>
      <sz val="11"/>
      <color rgb="FFFF0000"/>
      <name val="Calibri"/>
    </font>
    <font>
      <b/>
      <sz val="11"/>
      <color rgb="FFFF000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B9E5BB"/>
        <bgColor rgb="FFB9E5BB"/>
      </patternFill>
    </fill>
    <fill>
      <patternFill patternType="solid">
        <fgColor rgb="FFDBE5F1"/>
        <bgColor rgb="FFDBE5F1"/>
      </patternFill>
    </fill>
    <fill>
      <patternFill patternType="solid">
        <fgColor rgb="FFD8D8D8"/>
        <bgColor rgb="FFD8D8D8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47">
    <xf numFmtId="0" fontId="0" fillId="0" borderId="0" xfId="0" applyFont="1" applyAlignment="1"/>
    <xf numFmtId="0" fontId="1" fillId="2" borderId="1" xfId="0" applyFont="1" applyFill="1" applyBorder="1"/>
    <xf numFmtId="0" fontId="2" fillId="2" borderId="1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5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9" fillId="0" borderId="9" xfId="0" applyFont="1" applyBorder="1" applyAlignment="1">
      <alignment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center" wrapText="1"/>
    </xf>
    <xf numFmtId="3" fontId="11" fillId="0" borderId="17" xfId="0" applyNumberFormat="1" applyFont="1" applyBorder="1" applyAlignment="1">
      <alignment horizontal="right" vertical="center"/>
    </xf>
    <xf numFmtId="3" fontId="1" fillId="3" borderId="1" xfId="0" applyNumberFormat="1" applyFont="1" applyFill="1" applyBorder="1" applyAlignment="1">
      <alignment horizontal="right" vertical="center"/>
    </xf>
    <xf numFmtId="164" fontId="11" fillId="0" borderId="17" xfId="0" applyNumberFormat="1" applyFont="1" applyBorder="1" applyAlignment="1">
      <alignment horizontal="right" vertical="center"/>
    </xf>
    <xf numFmtId="164" fontId="1" fillId="3" borderId="18" xfId="0" applyNumberFormat="1" applyFont="1" applyFill="1" applyBorder="1" applyAlignment="1">
      <alignment horizontal="right" vertical="center"/>
    </xf>
    <xf numFmtId="164" fontId="1" fillId="3" borderId="19" xfId="0" applyNumberFormat="1" applyFont="1" applyFill="1" applyBorder="1" applyAlignment="1">
      <alignment horizontal="right" vertical="center"/>
    </xf>
    <xf numFmtId="164" fontId="1" fillId="3" borderId="1" xfId="0" applyNumberFormat="1" applyFont="1" applyFill="1" applyBorder="1" applyAlignment="1">
      <alignment horizontal="right" vertical="center"/>
    </xf>
    <xf numFmtId="0" fontId="9" fillId="0" borderId="20" xfId="0" applyFont="1" applyBorder="1" applyAlignment="1">
      <alignment vertical="center" wrapText="1"/>
    </xf>
    <xf numFmtId="3" fontId="9" fillId="0" borderId="6" xfId="0" applyNumberFormat="1" applyFont="1" applyBorder="1" applyAlignment="1">
      <alignment horizontal="right" vertical="center"/>
    </xf>
    <xf numFmtId="3" fontId="8" fillId="3" borderId="21" xfId="0" applyNumberFormat="1" applyFont="1" applyFill="1" applyBorder="1" applyAlignment="1">
      <alignment horizontal="right" vertical="center"/>
    </xf>
    <xf numFmtId="164" fontId="9" fillId="0" borderId="6" xfId="0" applyNumberFormat="1" applyFont="1" applyBorder="1" applyAlignment="1">
      <alignment horizontal="right" vertical="center"/>
    </xf>
    <xf numFmtId="164" fontId="8" fillId="3" borderId="21" xfId="0" applyNumberFormat="1" applyFont="1" applyFill="1" applyBorder="1" applyAlignment="1">
      <alignment horizontal="right" vertical="center"/>
    </xf>
    <xf numFmtId="164" fontId="8" fillId="3" borderId="22" xfId="0" applyNumberFormat="1" applyFont="1" applyFill="1" applyBorder="1" applyAlignment="1">
      <alignment horizontal="right" vertical="center"/>
    </xf>
    <xf numFmtId="3" fontId="8" fillId="0" borderId="0" xfId="0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8" fillId="0" borderId="0" xfId="0" applyNumberFormat="1" applyFont="1"/>
    <xf numFmtId="0" fontId="1" fillId="0" borderId="0" xfId="0" applyFont="1"/>
    <xf numFmtId="164" fontId="11" fillId="0" borderId="11" xfId="0" applyNumberFormat="1" applyFont="1" applyBorder="1" applyAlignment="1">
      <alignment horizontal="right" vertical="center"/>
    </xf>
    <xf numFmtId="164" fontId="11" fillId="0" borderId="10" xfId="0" applyNumberFormat="1" applyFont="1" applyBorder="1" applyAlignment="1">
      <alignment horizontal="right" vertical="center"/>
    </xf>
    <xf numFmtId="164" fontId="1" fillId="3" borderId="24" xfId="0" applyNumberFormat="1" applyFont="1" applyFill="1" applyBorder="1" applyAlignment="1">
      <alignment horizontal="right" vertical="center"/>
    </xf>
    <xf numFmtId="3" fontId="1" fillId="0" borderId="0" xfId="0" applyNumberFormat="1" applyFont="1"/>
    <xf numFmtId="0" fontId="14" fillId="0" borderId="0" xfId="0" applyFont="1"/>
    <xf numFmtId="164" fontId="11" fillId="0" borderId="0" xfId="0" applyNumberFormat="1" applyFont="1" applyAlignment="1">
      <alignment horizontal="right" vertical="center"/>
    </xf>
    <xf numFmtId="165" fontId="8" fillId="3" borderId="21" xfId="0" applyNumberFormat="1" applyFont="1" applyFill="1" applyBorder="1" applyAlignment="1">
      <alignment horizontal="right" vertical="center"/>
    </xf>
    <xf numFmtId="165" fontId="8" fillId="3" borderId="22" xfId="0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right"/>
    </xf>
    <xf numFmtId="0" fontId="12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right"/>
    </xf>
    <xf numFmtId="164" fontId="9" fillId="0" borderId="7" xfId="0" applyNumberFormat="1" applyFont="1" applyBorder="1" applyAlignment="1">
      <alignment horizontal="right" vertical="center"/>
    </xf>
    <xf numFmtId="0" fontId="9" fillId="0" borderId="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" fillId="3" borderId="1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164" fontId="1" fillId="3" borderId="18" xfId="0" applyNumberFormat="1" applyFont="1" applyFill="1" applyBorder="1" applyAlignment="1">
      <alignment vertical="center"/>
    </xf>
    <xf numFmtId="0" fontId="1" fillId="0" borderId="13" xfId="0" applyFont="1" applyBorder="1" applyAlignment="1">
      <alignment horizontal="left" wrapText="1"/>
    </xf>
    <xf numFmtId="0" fontId="1" fillId="3" borderId="25" xfId="0" applyFont="1" applyFill="1" applyBorder="1" applyAlignment="1">
      <alignment vertical="center"/>
    </xf>
    <xf numFmtId="164" fontId="8" fillId="3" borderId="22" xfId="0" applyNumberFormat="1" applyFont="1" applyFill="1" applyBorder="1" applyAlignment="1">
      <alignment vertical="center"/>
    </xf>
    <xf numFmtId="164" fontId="8" fillId="0" borderId="7" xfId="0" applyNumberFormat="1" applyFont="1" applyBorder="1" applyAlignment="1">
      <alignment vertical="center"/>
    </xf>
    <xf numFmtId="0" fontId="1" fillId="0" borderId="17" xfId="0" applyFont="1" applyBorder="1"/>
    <xf numFmtId="0" fontId="8" fillId="0" borderId="10" xfId="0" applyFont="1" applyBorder="1"/>
    <xf numFmtId="0" fontId="8" fillId="0" borderId="0" xfId="0" applyFont="1"/>
    <xf numFmtId="3" fontId="9" fillId="0" borderId="0" xfId="0" applyNumberFormat="1" applyFont="1" applyAlignment="1">
      <alignment horizontal="right"/>
    </xf>
    <xf numFmtId="0" fontId="1" fillId="0" borderId="8" xfId="0" applyFont="1" applyBorder="1"/>
    <xf numFmtId="0" fontId="10" fillId="0" borderId="10" xfId="0" applyFont="1" applyBorder="1" applyAlignment="1">
      <alignment horizontal="center" vertical="center" wrapText="1"/>
    </xf>
    <xf numFmtId="164" fontId="1" fillId="0" borderId="10" xfId="0" applyNumberFormat="1" applyFont="1" applyBorder="1" applyAlignment="1">
      <alignment vertical="center"/>
    </xf>
    <xf numFmtId="164" fontId="1" fillId="3" borderId="26" xfId="0" applyNumberFormat="1" applyFont="1" applyFill="1" applyBorder="1" applyAlignment="1">
      <alignment vertical="center"/>
    </xf>
    <xf numFmtId="164" fontId="1" fillId="3" borderId="24" xfId="0" applyNumberFormat="1" applyFont="1" applyFill="1" applyBorder="1" applyAlignment="1">
      <alignment vertical="center"/>
    </xf>
    <xf numFmtId="164" fontId="1" fillId="0" borderId="17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64" fontId="1" fillId="3" borderId="27" xfId="0" applyNumberFormat="1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  <xf numFmtId="164" fontId="1" fillId="3" borderId="19" xfId="0" applyNumberFormat="1" applyFont="1" applyFill="1" applyBorder="1" applyAlignment="1">
      <alignment vertical="center"/>
    </xf>
    <xf numFmtId="164" fontId="1" fillId="0" borderId="5" xfId="0" applyNumberFormat="1" applyFont="1" applyBorder="1" applyAlignment="1">
      <alignment vertical="center"/>
    </xf>
    <xf numFmtId="164" fontId="1" fillId="3" borderId="28" xfId="0" applyNumberFormat="1" applyFont="1" applyFill="1" applyBorder="1" applyAlignment="1">
      <alignment vertical="center"/>
    </xf>
    <xf numFmtId="164" fontId="1" fillId="3" borderId="29" xfId="0" applyNumberFormat="1" applyFont="1" applyFill="1" applyBorder="1" applyAlignment="1">
      <alignment vertical="center"/>
    </xf>
    <xf numFmtId="164" fontId="1" fillId="3" borderId="25" xfId="0" applyNumberFormat="1" applyFont="1" applyFill="1" applyBorder="1" applyAlignment="1">
      <alignment vertical="center"/>
    </xf>
    <xf numFmtId="164" fontId="1" fillId="0" borderId="11" xfId="0" applyNumberFormat="1" applyFont="1" applyBorder="1" applyAlignment="1">
      <alignment vertical="center"/>
    </xf>
    <xf numFmtId="164" fontId="1" fillId="0" borderId="14" xfId="0" applyNumberFormat="1" applyFont="1" applyBorder="1" applyAlignment="1">
      <alignment vertical="center"/>
    </xf>
    <xf numFmtId="164" fontId="1" fillId="0" borderId="12" xfId="0" applyNumberFormat="1" applyFont="1" applyBorder="1" applyAlignment="1">
      <alignment vertical="center"/>
    </xf>
    <xf numFmtId="164" fontId="1" fillId="0" borderId="23" xfId="0" applyNumberFormat="1" applyFont="1" applyBorder="1" applyAlignment="1">
      <alignment vertical="center"/>
    </xf>
    <xf numFmtId="164" fontId="1" fillId="0" borderId="15" xfId="0" applyNumberFormat="1" applyFont="1" applyBorder="1" applyAlignment="1">
      <alignment vertical="center"/>
    </xf>
    <xf numFmtId="164" fontId="1" fillId="0" borderId="0" xfId="0" applyNumberFormat="1" applyFont="1"/>
    <xf numFmtId="164" fontId="1" fillId="0" borderId="10" xfId="0" applyNumberFormat="1" applyFont="1" applyBorder="1"/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left" wrapText="1"/>
    </xf>
    <xf numFmtId="0" fontId="1" fillId="0" borderId="15" xfId="0" applyFont="1" applyBorder="1" applyAlignment="1">
      <alignment vertical="center"/>
    </xf>
    <xf numFmtId="0" fontId="9" fillId="0" borderId="7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 wrapText="1"/>
    </xf>
    <xf numFmtId="164" fontId="8" fillId="0" borderId="17" xfId="0" applyNumberFormat="1" applyFont="1" applyBorder="1" applyAlignment="1">
      <alignment vertical="center"/>
    </xf>
    <xf numFmtId="164" fontId="8" fillId="3" borderId="1" xfId="0" applyNumberFormat="1" applyFont="1" applyFill="1" applyBorder="1" applyAlignment="1">
      <alignment vertical="center"/>
    </xf>
    <xf numFmtId="164" fontId="8" fillId="0" borderId="0" xfId="0" applyNumberFormat="1" applyFont="1" applyAlignment="1">
      <alignment vertical="center"/>
    </xf>
    <xf numFmtId="164" fontId="8" fillId="0" borderId="6" xfId="0" applyNumberFormat="1" applyFont="1" applyBorder="1" applyAlignment="1">
      <alignment vertical="center"/>
    </xf>
    <xf numFmtId="164" fontId="8" fillId="3" borderId="21" xfId="0" applyNumberFormat="1" applyFont="1" applyFill="1" applyBorder="1" applyAlignment="1">
      <alignment vertical="center"/>
    </xf>
    <xf numFmtId="0" fontId="9" fillId="0" borderId="7" xfId="0" applyFont="1" applyBorder="1" applyAlignment="1">
      <alignment vertical="center" wrapText="1"/>
    </xf>
    <xf numFmtId="164" fontId="8" fillId="3" borderId="29" xfId="0" applyNumberFormat="1" applyFont="1" applyFill="1" applyBorder="1" applyAlignment="1">
      <alignment vertical="center"/>
    </xf>
    <xf numFmtId="0" fontId="1" fillId="0" borderId="10" xfId="0" applyFont="1" applyBorder="1"/>
    <xf numFmtId="0" fontId="8" fillId="0" borderId="20" xfId="0" applyFont="1" applyBorder="1"/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1" fillId="0" borderId="9" xfId="0" applyFont="1" applyBorder="1" applyAlignment="1">
      <alignment vertical="center" wrapText="1"/>
    </xf>
    <xf numFmtId="0" fontId="1" fillId="0" borderId="12" xfId="0" applyFont="1" applyBorder="1"/>
    <xf numFmtId="0" fontId="1" fillId="0" borderId="23" xfId="0" applyFont="1" applyBorder="1"/>
    <xf numFmtId="0" fontId="8" fillId="0" borderId="20" xfId="0" applyFont="1" applyBorder="1" applyAlignment="1">
      <alignment vertical="center"/>
    </xf>
    <xf numFmtId="3" fontId="8" fillId="0" borderId="7" xfId="0" applyNumberFormat="1" applyFont="1" applyBorder="1" applyAlignment="1">
      <alignment horizontal="right"/>
    </xf>
    <xf numFmtId="164" fontId="9" fillId="0" borderId="6" xfId="0" applyNumberFormat="1" applyFont="1" applyBorder="1" applyAlignment="1">
      <alignment horizontal="right"/>
    </xf>
    <xf numFmtId="164" fontId="9" fillId="0" borderId="7" xfId="0" applyNumberFormat="1" applyFont="1" applyBorder="1" applyAlignment="1">
      <alignment horizontal="right"/>
    </xf>
    <xf numFmtId="164" fontId="8" fillId="0" borderId="7" xfId="0" applyNumberFormat="1" applyFont="1" applyBorder="1"/>
    <xf numFmtId="164" fontId="8" fillId="0" borderId="8" xfId="0" applyNumberFormat="1" applyFont="1" applyBorder="1" applyAlignment="1">
      <alignment vertical="center"/>
    </xf>
    <xf numFmtId="164" fontId="8" fillId="0" borderId="8" xfId="0" applyNumberFormat="1" applyFont="1" applyBorder="1"/>
    <xf numFmtId="164" fontId="8" fillId="3" borderId="20" xfId="0" applyNumberFormat="1" applyFont="1" applyFill="1" applyBorder="1"/>
    <xf numFmtId="3" fontId="8" fillId="3" borderId="21" xfId="0" applyNumberFormat="1" applyFont="1" applyFill="1" applyBorder="1" applyAlignment="1">
      <alignment horizontal="right"/>
    </xf>
    <xf numFmtId="164" fontId="8" fillId="3" borderId="30" xfId="0" applyNumberFormat="1" applyFont="1" applyFill="1" applyBorder="1"/>
    <xf numFmtId="164" fontId="8" fillId="3" borderId="21" xfId="0" applyNumberFormat="1" applyFont="1" applyFill="1" applyBorder="1"/>
    <xf numFmtId="164" fontId="8" fillId="3" borderId="22" xfId="0" applyNumberFormat="1" applyFont="1" applyFill="1" applyBorder="1"/>
    <xf numFmtId="0" fontId="16" fillId="0" borderId="0" xfId="0" applyFont="1"/>
    <xf numFmtId="0" fontId="1" fillId="0" borderId="13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3" fontId="1" fillId="3" borderId="1" xfId="0" applyNumberFormat="1" applyFont="1" applyFill="1" applyBorder="1" applyAlignment="1">
      <alignment vertical="center"/>
    </xf>
    <xf numFmtId="164" fontId="1" fillId="0" borderId="17" xfId="0" applyNumberFormat="1" applyFont="1" applyBorder="1" applyAlignment="1">
      <alignment horizontal="right" vertical="center" wrapText="1"/>
    </xf>
    <xf numFmtId="164" fontId="1" fillId="0" borderId="17" xfId="0" applyNumberFormat="1" applyFont="1" applyBorder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1" fillId="0" borderId="16" xfId="0" applyFont="1" applyBorder="1" applyAlignment="1">
      <alignment vertical="center" wrapText="1"/>
    </xf>
    <xf numFmtId="0" fontId="1" fillId="0" borderId="16" xfId="0" applyFont="1" applyBorder="1" applyAlignment="1">
      <alignment vertical="center"/>
    </xf>
    <xf numFmtId="0" fontId="1" fillId="0" borderId="5" xfId="0" applyFont="1" applyBorder="1" applyAlignment="1">
      <alignment horizontal="right" vertical="center"/>
    </xf>
    <xf numFmtId="3" fontId="1" fillId="3" borderId="25" xfId="0" applyNumberFormat="1" applyFont="1" applyFill="1" applyBorder="1" applyAlignment="1">
      <alignment vertical="center"/>
    </xf>
    <xf numFmtId="164" fontId="1" fillId="0" borderId="14" xfId="0" applyNumberFormat="1" applyFont="1" applyBorder="1" applyAlignment="1">
      <alignment horizontal="right" vertical="center"/>
    </xf>
    <xf numFmtId="164" fontId="1" fillId="0" borderId="5" xfId="0" applyNumberFormat="1" applyFont="1" applyBorder="1" applyAlignment="1">
      <alignment horizontal="right" vertical="center"/>
    </xf>
    <xf numFmtId="164" fontId="1" fillId="3" borderId="25" xfId="0" applyNumberFormat="1" applyFont="1" applyFill="1" applyBorder="1" applyAlignment="1">
      <alignment horizontal="right" vertical="center"/>
    </xf>
    <xf numFmtId="164" fontId="10" fillId="0" borderId="6" xfId="0" applyNumberFormat="1" applyFont="1" applyBorder="1" applyAlignment="1">
      <alignment horizontal="center" vertical="center" wrapText="1"/>
    </xf>
    <xf numFmtId="164" fontId="10" fillId="0" borderId="8" xfId="0" applyNumberFormat="1" applyFont="1" applyBorder="1" applyAlignment="1">
      <alignment horizontal="center" vertical="center" wrapText="1"/>
    </xf>
    <xf numFmtId="0" fontId="1" fillId="0" borderId="17" xfId="0" applyFont="1" applyBorder="1" applyAlignment="1">
      <alignment horizontal="right" vertical="center"/>
    </xf>
    <xf numFmtId="3" fontId="1" fillId="3" borderId="29" xfId="0" applyNumberFormat="1" applyFont="1" applyFill="1" applyBorder="1" applyAlignment="1">
      <alignment vertical="center"/>
    </xf>
    <xf numFmtId="0" fontId="11" fillId="0" borderId="13" xfId="0" applyFont="1" applyBorder="1" applyAlignment="1">
      <alignment vertical="center" wrapText="1"/>
    </xf>
    <xf numFmtId="164" fontId="1" fillId="0" borderId="17" xfId="0" applyNumberFormat="1" applyFont="1" applyBorder="1" applyAlignment="1">
      <alignment vertical="center" wrapText="1"/>
    </xf>
    <xf numFmtId="164" fontId="1" fillId="0" borderId="0" xfId="0" applyNumberFormat="1" applyFont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14" xfId="0" applyFont="1" applyBorder="1" applyAlignment="1">
      <alignment horizontal="right" vertical="center"/>
    </xf>
    <xf numFmtId="0" fontId="1" fillId="0" borderId="20" xfId="0" applyFont="1" applyBorder="1" applyAlignment="1">
      <alignment vertical="center" wrapText="1"/>
    </xf>
    <xf numFmtId="0" fontId="1" fillId="0" borderId="20" xfId="0" applyFont="1" applyBorder="1" applyAlignment="1">
      <alignment vertical="center"/>
    </xf>
    <xf numFmtId="0" fontId="1" fillId="0" borderId="7" xfId="0" applyFont="1" applyBorder="1" applyAlignment="1">
      <alignment horizontal="right" vertical="center"/>
    </xf>
    <xf numFmtId="3" fontId="1" fillId="3" borderId="21" xfId="0" applyNumberFormat="1" applyFont="1" applyFill="1" applyBorder="1" applyAlignment="1">
      <alignment vertical="center"/>
    </xf>
    <xf numFmtId="164" fontId="1" fillId="0" borderId="6" xfId="0" applyNumberFormat="1" applyFont="1" applyBorder="1" applyAlignment="1">
      <alignment horizontal="right" vertical="center"/>
    </xf>
    <xf numFmtId="164" fontId="1" fillId="3" borderId="22" xfId="0" applyNumberFormat="1" applyFont="1" applyFill="1" applyBorder="1" applyAlignment="1">
      <alignment vertical="center"/>
    </xf>
    <xf numFmtId="164" fontId="1" fillId="0" borderId="7" xfId="0" applyNumberFormat="1" applyFont="1" applyBorder="1" applyAlignment="1">
      <alignment horizontal="right" vertical="center"/>
    </xf>
    <xf numFmtId="164" fontId="1" fillId="3" borderId="22" xfId="0" applyNumberFormat="1" applyFont="1" applyFill="1" applyBorder="1" applyAlignment="1">
      <alignment horizontal="right" vertical="center"/>
    </xf>
    <xf numFmtId="0" fontId="1" fillId="0" borderId="9" xfId="0" applyFont="1" applyBorder="1" applyAlignment="1">
      <alignment vertical="center"/>
    </xf>
    <xf numFmtId="0" fontId="1" fillId="0" borderId="11" xfId="0" applyFont="1" applyBorder="1" applyAlignment="1">
      <alignment horizontal="right" vertical="center"/>
    </xf>
    <xf numFmtId="164" fontId="1" fillId="0" borderId="11" xfId="0" applyNumberFormat="1" applyFont="1" applyBorder="1" applyAlignment="1">
      <alignment horizontal="right" vertical="center"/>
    </xf>
    <xf numFmtId="164" fontId="1" fillId="0" borderId="10" xfId="0" applyNumberFormat="1" applyFont="1" applyBorder="1" applyAlignment="1">
      <alignment horizontal="right" vertical="center"/>
    </xf>
    <xf numFmtId="0" fontId="1" fillId="0" borderId="17" xfId="0" applyFont="1" applyBorder="1" applyAlignment="1">
      <alignment vertical="center"/>
    </xf>
    <xf numFmtId="3" fontId="1" fillId="3" borderId="19" xfId="0" applyNumberFormat="1" applyFont="1" applyFill="1" applyBorder="1" applyAlignment="1">
      <alignment vertical="center"/>
    </xf>
    <xf numFmtId="0" fontId="17" fillId="0" borderId="0" xfId="0" applyFont="1" applyAlignment="1">
      <alignment vertical="center"/>
    </xf>
    <xf numFmtId="0" fontId="1" fillId="0" borderId="11" xfId="0" applyFont="1" applyBorder="1" applyAlignment="1">
      <alignment vertical="center" wrapText="1"/>
    </xf>
    <xf numFmtId="0" fontId="1" fillId="0" borderId="17" xfId="0" applyFont="1" applyBorder="1" applyAlignment="1">
      <alignment vertical="center" wrapText="1"/>
    </xf>
    <xf numFmtId="0" fontId="1" fillId="0" borderId="14" xfId="0" applyFont="1" applyBorder="1" applyAlignment="1">
      <alignment vertical="center" wrapText="1"/>
    </xf>
    <xf numFmtId="0" fontId="8" fillId="0" borderId="20" xfId="0" applyFont="1" applyBorder="1" applyAlignment="1">
      <alignment wrapText="1"/>
    </xf>
    <xf numFmtId="0" fontId="1" fillId="0" borderId="20" xfId="0" applyFont="1" applyBorder="1"/>
    <xf numFmtId="3" fontId="9" fillId="0" borderId="6" xfId="0" applyNumberFormat="1" applyFont="1" applyBorder="1" applyAlignment="1">
      <alignment horizontal="right"/>
    </xf>
    <xf numFmtId="164" fontId="8" fillId="3" borderId="22" xfId="0" applyNumberFormat="1" applyFont="1" applyFill="1" applyBorder="1" applyAlignment="1">
      <alignment horizontal="right"/>
    </xf>
    <xf numFmtId="0" fontId="13" fillId="0" borderId="0" xfId="0" applyFont="1"/>
    <xf numFmtId="0" fontId="10" fillId="0" borderId="0" xfId="0" applyFont="1" applyAlignment="1">
      <alignment horizontal="left"/>
    </xf>
    <xf numFmtId="0" fontId="8" fillId="0" borderId="9" xfId="0" applyFont="1" applyBorder="1" applyAlignment="1">
      <alignment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9" xfId="0" applyFont="1" applyBorder="1"/>
    <xf numFmtId="164" fontId="1" fillId="0" borderId="6" xfId="0" applyNumberFormat="1" applyFont="1" applyBorder="1"/>
    <xf numFmtId="164" fontId="1" fillId="0" borderId="8" xfId="0" applyNumberFormat="1" applyFont="1" applyBorder="1"/>
    <xf numFmtId="164" fontId="1" fillId="0" borderId="12" xfId="0" applyNumberFormat="1" applyFont="1" applyBorder="1"/>
    <xf numFmtId="164" fontId="1" fillId="0" borderId="11" xfId="0" applyNumberFormat="1" applyFont="1" applyBorder="1"/>
    <xf numFmtId="164" fontId="1" fillId="3" borderId="30" xfId="0" applyNumberFormat="1" applyFont="1" applyFill="1" applyBorder="1"/>
    <xf numFmtId="164" fontId="1" fillId="3" borderId="21" xfId="0" applyNumberFormat="1" applyFont="1" applyFill="1" applyBorder="1"/>
    <xf numFmtId="164" fontId="1" fillId="3" borderId="22" xfId="0" applyNumberFormat="1" applyFont="1" applyFill="1" applyBorder="1"/>
    <xf numFmtId="0" fontId="8" fillId="0" borderId="20" xfId="0" applyFont="1" applyBorder="1" applyAlignment="1">
      <alignment horizontal="left" vertical="center" wrapText="1"/>
    </xf>
    <xf numFmtId="164" fontId="1" fillId="0" borderId="7" xfId="0" applyNumberFormat="1" applyFont="1" applyBorder="1"/>
    <xf numFmtId="0" fontId="1" fillId="0" borderId="11" xfId="0" applyFont="1" applyBorder="1"/>
    <xf numFmtId="0" fontId="8" fillId="0" borderId="17" xfId="0" applyFont="1" applyBorder="1" applyAlignment="1">
      <alignment wrapText="1"/>
    </xf>
    <xf numFmtId="0" fontId="1" fillId="0" borderId="6" xfId="0" applyFont="1" applyBorder="1"/>
    <xf numFmtId="164" fontId="1" fillId="0" borderId="23" xfId="0" applyNumberFormat="1" applyFont="1" applyBorder="1"/>
    <xf numFmtId="164" fontId="1" fillId="0" borderId="12" xfId="0" applyNumberFormat="1" applyFont="1" applyBorder="1" applyAlignment="1">
      <alignment horizontal="right" vertical="center"/>
    </xf>
    <xf numFmtId="164" fontId="1" fillId="0" borderId="23" xfId="0" applyNumberFormat="1" applyFont="1" applyBorder="1" applyAlignment="1">
      <alignment horizontal="right" vertical="center"/>
    </xf>
    <xf numFmtId="164" fontId="1" fillId="0" borderId="15" xfId="0" applyNumberFormat="1" applyFont="1" applyBorder="1" applyAlignment="1">
      <alignment horizontal="right" vertical="center"/>
    </xf>
    <xf numFmtId="164" fontId="8" fillId="0" borderId="6" xfId="0" applyNumberFormat="1" applyFont="1" applyBorder="1"/>
    <xf numFmtId="164" fontId="8" fillId="0" borderId="10" xfId="0" applyNumberFormat="1" applyFont="1" applyBorder="1"/>
    <xf numFmtId="0" fontId="8" fillId="0" borderId="13" xfId="0" applyFont="1" applyBorder="1" applyAlignment="1">
      <alignment horizontal="left"/>
    </xf>
    <xf numFmtId="0" fontId="8" fillId="0" borderId="20" xfId="0" applyFont="1" applyBorder="1" applyAlignment="1">
      <alignment horizontal="left"/>
    </xf>
    <xf numFmtId="0" fontId="8" fillId="0" borderId="6" xfId="0" applyFont="1" applyBorder="1"/>
    <xf numFmtId="0" fontId="8" fillId="0" borderId="7" xfId="0" applyFont="1" applyBorder="1"/>
    <xf numFmtId="0" fontId="8" fillId="0" borderId="8" xfId="0" applyFont="1" applyBorder="1"/>
    <xf numFmtId="0" fontId="15" fillId="0" borderId="4" xfId="0" applyFont="1" applyBorder="1" applyAlignment="1">
      <alignment vertical="center" wrapText="1"/>
    </xf>
    <xf numFmtId="0" fontId="1" fillId="0" borderId="4" xfId="0" applyFont="1" applyBorder="1"/>
    <xf numFmtId="0" fontId="15" fillId="0" borderId="27" xfId="0" applyFont="1" applyBorder="1" applyAlignment="1">
      <alignment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0" borderId="3" xfId="0" applyFont="1" applyBorder="1"/>
    <xf numFmtId="0" fontId="6" fillId="0" borderId="4" xfId="0" applyFont="1" applyBorder="1"/>
    <xf numFmtId="0" fontId="7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left" vertical="center" wrapText="1"/>
    </xf>
    <xf numFmtId="0" fontId="6" fillId="0" borderId="10" xfId="0" applyFont="1" applyBorder="1"/>
    <xf numFmtId="0" fontId="1" fillId="0" borderId="6" xfId="0" applyFont="1" applyBorder="1" applyAlignment="1">
      <alignment horizontal="left" vertical="center" wrapText="1"/>
    </xf>
    <xf numFmtId="0" fontId="6" fillId="0" borderId="8" xfId="0" applyFont="1" applyBorder="1"/>
    <xf numFmtId="0" fontId="8" fillId="0" borderId="11" xfId="0" applyFont="1" applyBorder="1" applyAlignment="1">
      <alignment horizontal="center" vertical="center" wrapText="1"/>
    </xf>
    <xf numFmtId="0" fontId="6" fillId="0" borderId="12" xfId="0" applyFont="1" applyBorder="1"/>
    <xf numFmtId="0" fontId="6" fillId="0" borderId="14" xfId="0" applyFont="1" applyBorder="1"/>
    <xf numFmtId="0" fontId="6" fillId="0" borderId="15" xfId="0" applyFont="1" applyBorder="1"/>
    <xf numFmtId="0" fontId="8" fillId="0" borderId="6" xfId="0" applyFont="1" applyBorder="1" applyAlignment="1">
      <alignment horizontal="center" vertical="center"/>
    </xf>
    <xf numFmtId="0" fontId="6" fillId="0" borderId="7" xfId="0" applyFont="1" applyBorder="1"/>
    <xf numFmtId="0" fontId="8" fillId="0" borderId="7" xfId="0" applyFont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6" fillId="0" borderId="5" xfId="0" applyFont="1" applyBorder="1"/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0" fillId="0" borderId="0" xfId="0" applyFont="1" applyAlignment="1"/>
    <xf numFmtId="0" fontId="9" fillId="0" borderId="9" xfId="0" applyFont="1" applyBorder="1" applyAlignment="1">
      <alignment vertical="center" wrapText="1"/>
    </xf>
    <xf numFmtId="0" fontId="6" fillId="0" borderId="13" xfId="0" applyFont="1" applyBorder="1"/>
    <xf numFmtId="0" fontId="6" fillId="0" borderId="16" xfId="0" applyFont="1" applyBorder="1"/>
    <xf numFmtId="0" fontId="9" fillId="0" borderId="11" xfId="0" applyFont="1" applyBorder="1" applyAlignment="1">
      <alignment horizontal="center" vertical="center"/>
    </xf>
    <xf numFmtId="0" fontId="6" fillId="0" borderId="17" xfId="0" applyFont="1" applyBorder="1"/>
    <xf numFmtId="0" fontId="6" fillId="0" borderId="23" xfId="0" applyFont="1" applyBorder="1"/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9" fillId="0" borderId="10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8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left" wrapText="1"/>
    </xf>
    <xf numFmtId="0" fontId="6" fillId="0" borderId="31" xfId="0" applyFont="1" applyBorder="1"/>
    <xf numFmtId="0" fontId="9" fillId="0" borderId="4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6" fillId="0" borderId="25" xfId="0" applyFont="1" applyBorder="1"/>
    <xf numFmtId="0" fontId="8" fillId="0" borderId="5" xfId="0" applyFont="1" applyBorder="1" applyAlignment="1">
      <alignment horizontal="left" wrapText="1"/>
    </xf>
    <xf numFmtId="0" fontId="12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wrapText="1"/>
    </xf>
    <xf numFmtId="0" fontId="1" fillId="0" borderId="13" xfId="0" applyFont="1" applyBorder="1" applyAlignment="1">
      <alignment horizontal="left" vertical="center" wrapText="1"/>
    </xf>
    <xf numFmtId="164" fontId="9" fillId="0" borderId="6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8" fillId="4" borderId="6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8" fillId="0" borderId="6" xfId="0" applyFont="1" applyBorder="1" applyAlignment="1">
      <alignment horizontal="center" wrapText="1"/>
    </xf>
    <xf numFmtId="0" fontId="8" fillId="0" borderId="9" xfId="0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0</xdr:row>
      <xdr:rowOff>142875</xdr:rowOff>
    </xdr:from>
    <xdr:ext cx="1038225" cy="14287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57150</xdr:rowOff>
    </xdr:from>
    <xdr:ext cx="9601200" cy="7467600"/>
    <xdr:pic>
      <xdr:nvPicPr>
        <xdr:cNvPr id="2" name="image6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81</xdr:row>
      <xdr:rowOff>47625</xdr:rowOff>
    </xdr:from>
    <xdr:ext cx="9601200" cy="7467600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41</xdr:row>
      <xdr:rowOff>38100</xdr:rowOff>
    </xdr:from>
    <xdr:ext cx="9601200" cy="7467600"/>
    <xdr:pic>
      <xdr:nvPicPr>
        <xdr:cNvPr id="4" name="image12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121</xdr:row>
      <xdr:rowOff>85725</xdr:rowOff>
    </xdr:from>
    <xdr:ext cx="9163050" cy="7134225"/>
    <xdr:pic>
      <xdr:nvPicPr>
        <xdr:cNvPr id="5" name="image13.p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1</xdr:row>
      <xdr:rowOff>47625</xdr:rowOff>
    </xdr:from>
    <xdr:ext cx="9382125" cy="730567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41</xdr:row>
      <xdr:rowOff>133350</xdr:rowOff>
    </xdr:from>
    <xdr:ext cx="9372600" cy="73056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82</xdr:row>
      <xdr:rowOff>152400</xdr:rowOff>
    </xdr:from>
    <xdr:ext cx="9429750" cy="7353300"/>
    <xdr:pic>
      <xdr:nvPicPr>
        <xdr:cNvPr id="4" name="image8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2</xdr:row>
      <xdr:rowOff>95250</xdr:rowOff>
    </xdr:from>
    <xdr:ext cx="9629775" cy="7458075"/>
    <xdr:pic>
      <xdr:nvPicPr>
        <xdr:cNvPr id="2" name="image9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571500</xdr:colOff>
      <xdr:row>84</xdr:row>
      <xdr:rowOff>123825</xdr:rowOff>
    </xdr:from>
    <xdr:ext cx="9610725" cy="74771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552450</xdr:colOff>
      <xdr:row>43</xdr:row>
      <xdr:rowOff>114300</xdr:rowOff>
    </xdr:from>
    <xdr:ext cx="9610725" cy="7458075"/>
    <xdr:pic>
      <xdr:nvPicPr>
        <xdr:cNvPr id="4" name="image7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9629775" cy="7467600"/>
    <xdr:pic>
      <xdr:nvPicPr>
        <xdr:cNvPr id="2" name="image10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43</xdr:row>
      <xdr:rowOff>0</xdr:rowOff>
    </xdr:from>
    <xdr:ext cx="9629775" cy="7467600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000"/>
  <sheetViews>
    <sheetView tabSelected="1" workbookViewId="0"/>
  </sheetViews>
  <sheetFormatPr defaultColWidth="14.42578125" defaultRowHeight="15" customHeight="1"/>
  <cols>
    <col min="1" max="26" width="8.7109375" customWidth="1"/>
  </cols>
  <sheetData>
    <row r="1" spans="1:1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>
      <c r="A3" s="1"/>
      <c r="B3" s="2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4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4" ht="21">
      <c r="A7" s="3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14" ht="21">
      <c r="A8" s="3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14" ht="15.75">
      <c r="A9" s="4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14" ht="23.25">
      <c r="A10" s="1"/>
      <c r="B10" s="188" t="s">
        <v>0</v>
      </c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90"/>
      <c r="N10" s="1"/>
    </row>
    <row r="11" spans="1:14" ht="21">
      <c r="A11" s="1"/>
      <c r="B11" s="1"/>
      <c r="C11" s="3"/>
      <c r="D11" s="3"/>
      <c r="E11" s="3"/>
      <c r="F11" s="3"/>
      <c r="G11" s="3"/>
      <c r="H11" s="3"/>
      <c r="I11" s="3"/>
      <c r="J11" s="3"/>
      <c r="K11" s="3"/>
      <c r="L11" s="3"/>
      <c r="M11" s="1"/>
      <c r="N11" s="1"/>
    </row>
    <row r="12" spans="1:14" ht="18.75">
      <c r="A12" s="1"/>
      <c r="B12" s="191" t="s">
        <v>1</v>
      </c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90"/>
      <c r="N12" s="1"/>
    </row>
    <row r="13" spans="1:14" ht="15.75">
      <c r="A13" s="1"/>
      <c r="B13" s="1"/>
      <c r="C13" s="4"/>
      <c r="D13" s="4"/>
      <c r="E13" s="4"/>
      <c r="F13" s="4"/>
      <c r="G13" s="4"/>
      <c r="H13" s="4"/>
      <c r="I13" s="4"/>
      <c r="J13" s="4"/>
      <c r="K13" s="4"/>
      <c r="L13" s="4"/>
      <c r="M13" s="1"/>
      <c r="N13" s="1"/>
    </row>
    <row r="14" spans="1:14" ht="15.75">
      <c r="A14" s="1"/>
      <c r="B14" s="1"/>
      <c r="C14" s="192" t="s">
        <v>2</v>
      </c>
      <c r="D14" s="189"/>
      <c r="E14" s="189"/>
      <c r="F14" s="189"/>
      <c r="G14" s="189"/>
      <c r="H14" s="189"/>
      <c r="I14" s="189"/>
      <c r="J14" s="189"/>
      <c r="K14" s="189"/>
      <c r="L14" s="190"/>
      <c r="M14" s="1"/>
      <c r="N14" s="1"/>
    </row>
    <row r="15" spans="1:1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14">
      <c r="A17" s="5"/>
      <c r="B17" s="5"/>
      <c r="C17" s="5"/>
      <c r="D17" s="5"/>
      <c r="E17" s="5"/>
      <c r="F17" s="1"/>
      <c r="G17" s="1"/>
      <c r="H17" s="1"/>
      <c r="I17" s="1"/>
      <c r="J17" s="1"/>
      <c r="K17" s="1"/>
      <c r="L17" s="1"/>
      <c r="M17" s="1"/>
      <c r="N17" s="1"/>
    </row>
    <row r="18" spans="1:14">
      <c r="A18" s="5"/>
      <c r="B18" s="5"/>
      <c r="C18" s="5"/>
      <c r="D18" s="5"/>
      <c r="E18" s="5"/>
      <c r="F18" s="1"/>
      <c r="G18" s="1"/>
      <c r="H18" s="1"/>
      <c r="I18" s="1"/>
      <c r="J18" s="1"/>
      <c r="K18" s="1"/>
      <c r="L18" s="1"/>
      <c r="M18" s="1"/>
      <c r="N18" s="1"/>
    </row>
    <row r="19" spans="1:14">
      <c r="A19" s="5"/>
      <c r="B19" s="5"/>
      <c r="C19" s="5"/>
      <c r="D19" s="5"/>
      <c r="E19" s="5"/>
      <c r="F19" s="1"/>
      <c r="G19" s="1"/>
      <c r="H19" s="1"/>
      <c r="I19" s="1"/>
      <c r="J19" s="1"/>
      <c r="K19" s="1"/>
      <c r="L19" s="1"/>
      <c r="M19" s="1"/>
      <c r="N19" s="1"/>
    </row>
    <row r="20" spans="1:1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4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4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14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14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1:14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14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1:14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14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14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</row>
    <row r="31" spans="1:14" ht="15.75" customHeight="1"/>
    <row r="32" spans="1:14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0:M10"/>
    <mergeCell ref="B12:M12"/>
    <mergeCell ref="C14:L14"/>
  </mergeCells>
  <pageMargins left="0.7" right="0.7" top="0.75" bottom="0.75" header="0" footer="0"/>
  <pageSetup paperSize="9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R1000"/>
  <sheetViews>
    <sheetView view="pageBreakPreview" zoomScale="60" zoomScaleNormal="100" workbookViewId="0">
      <selection sqref="A1:Q1"/>
    </sheetView>
  </sheetViews>
  <sheetFormatPr defaultColWidth="14.42578125" defaultRowHeight="15" customHeight="1"/>
  <cols>
    <col min="1" max="1" width="17" customWidth="1"/>
    <col min="2" max="17" width="12.7109375" customWidth="1"/>
    <col min="18" max="26" width="8.7109375" customWidth="1"/>
  </cols>
  <sheetData>
    <row r="1" spans="1:18">
      <c r="A1" s="246" t="s">
        <v>238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</row>
    <row r="2" spans="1:18">
      <c r="A2" s="6"/>
      <c r="B2" s="6"/>
      <c r="C2" s="6"/>
      <c r="D2" s="6"/>
      <c r="E2" s="6"/>
      <c r="F2" s="6"/>
    </row>
    <row r="3" spans="1:18" ht="54" customHeight="1">
      <c r="A3" s="171"/>
      <c r="B3" s="219" t="s">
        <v>239</v>
      </c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196"/>
    </row>
    <row r="4" spans="1:18">
      <c r="A4" s="180"/>
      <c r="B4" s="216" t="s">
        <v>40</v>
      </c>
      <c r="C4" s="202"/>
      <c r="D4" s="202"/>
      <c r="E4" s="196"/>
      <c r="F4" s="216" t="s">
        <v>41</v>
      </c>
      <c r="G4" s="202"/>
      <c r="H4" s="202"/>
      <c r="I4" s="196"/>
      <c r="J4" s="216" t="s">
        <v>42</v>
      </c>
      <c r="K4" s="202"/>
      <c r="L4" s="202"/>
      <c r="M4" s="196"/>
      <c r="N4" s="216" t="s">
        <v>43</v>
      </c>
      <c r="O4" s="202"/>
      <c r="P4" s="202"/>
      <c r="Q4" s="196"/>
    </row>
    <row r="5" spans="1:18" ht="45">
      <c r="A5" s="100" t="s">
        <v>48</v>
      </c>
      <c r="B5" s="42" t="s">
        <v>240</v>
      </c>
      <c r="C5" s="80" t="s">
        <v>241</v>
      </c>
      <c r="D5" s="80" t="s">
        <v>242</v>
      </c>
      <c r="E5" s="83" t="s">
        <v>243</v>
      </c>
      <c r="F5" s="80" t="s">
        <v>240</v>
      </c>
      <c r="G5" s="80" t="s">
        <v>241</v>
      </c>
      <c r="H5" s="80" t="s">
        <v>242</v>
      </c>
      <c r="I5" s="83" t="s">
        <v>243</v>
      </c>
      <c r="J5" s="42" t="s">
        <v>240</v>
      </c>
      <c r="K5" s="80" t="s">
        <v>241</v>
      </c>
      <c r="L5" s="80" t="s">
        <v>242</v>
      </c>
      <c r="M5" s="83" t="s">
        <v>243</v>
      </c>
      <c r="N5" s="42" t="s">
        <v>240</v>
      </c>
      <c r="O5" s="80" t="s">
        <v>241</v>
      </c>
      <c r="P5" s="80" t="s">
        <v>242</v>
      </c>
      <c r="Q5" s="83" t="s">
        <v>243</v>
      </c>
    </row>
    <row r="6" spans="1:18" ht="30">
      <c r="A6" s="96" t="s">
        <v>52</v>
      </c>
      <c r="B6" s="62">
        <v>34.15</v>
      </c>
      <c r="C6" s="62">
        <v>41.46</v>
      </c>
      <c r="D6" s="62">
        <v>18.29</v>
      </c>
      <c r="E6" s="73">
        <v>2.44</v>
      </c>
      <c r="F6" s="62">
        <v>45.8</v>
      </c>
      <c r="G6" s="62">
        <v>47.2</v>
      </c>
      <c r="H6" s="62">
        <v>6.9</v>
      </c>
      <c r="I6" s="72">
        <v>0</v>
      </c>
      <c r="J6" s="62">
        <v>33.33</v>
      </c>
      <c r="K6" s="62">
        <v>54.55</v>
      </c>
      <c r="L6" s="62">
        <v>12.12</v>
      </c>
      <c r="M6" s="72">
        <v>0</v>
      </c>
      <c r="N6" s="62">
        <v>27.59</v>
      </c>
      <c r="O6" s="62">
        <v>60.34</v>
      </c>
      <c r="P6" s="62">
        <v>10.34</v>
      </c>
      <c r="Q6" s="73">
        <v>1.72</v>
      </c>
    </row>
    <row r="7" spans="1:18" ht="45">
      <c r="A7" s="96" t="s">
        <v>53</v>
      </c>
      <c r="B7" s="62">
        <v>42.33</v>
      </c>
      <c r="C7" s="62">
        <v>49.69</v>
      </c>
      <c r="D7" s="62">
        <v>7.98</v>
      </c>
      <c r="E7" s="73">
        <v>0</v>
      </c>
      <c r="F7" s="62">
        <v>44.9</v>
      </c>
      <c r="G7" s="62">
        <v>39.5</v>
      </c>
      <c r="H7" s="62">
        <v>12.2</v>
      </c>
      <c r="I7" s="73">
        <v>0.7</v>
      </c>
      <c r="J7" s="62">
        <v>42.31</v>
      </c>
      <c r="K7" s="62">
        <v>39.56</v>
      </c>
      <c r="L7" s="62">
        <v>12.64</v>
      </c>
      <c r="M7" s="73">
        <v>3.85</v>
      </c>
      <c r="N7" s="62">
        <v>44.51</v>
      </c>
      <c r="O7" s="62">
        <v>43.96</v>
      </c>
      <c r="P7" s="62">
        <v>8.24</v>
      </c>
      <c r="Q7" s="73">
        <v>2.75</v>
      </c>
    </row>
    <row r="8" spans="1:18" ht="30">
      <c r="A8" s="96" t="s">
        <v>54</v>
      </c>
      <c r="B8" s="62">
        <v>46.36</v>
      </c>
      <c r="C8" s="62">
        <v>44.37</v>
      </c>
      <c r="D8" s="62">
        <v>8.61</v>
      </c>
      <c r="E8" s="73">
        <v>0</v>
      </c>
      <c r="F8" s="62">
        <v>50.8</v>
      </c>
      <c r="G8" s="62">
        <v>41.7</v>
      </c>
      <c r="H8" s="62">
        <v>7.6</v>
      </c>
      <c r="I8" s="73">
        <v>0</v>
      </c>
      <c r="J8" s="62">
        <v>43.95</v>
      </c>
      <c r="K8" s="62">
        <v>48.88</v>
      </c>
      <c r="L8" s="62">
        <v>6.28</v>
      </c>
      <c r="M8" s="73">
        <v>0</v>
      </c>
      <c r="N8" s="62">
        <v>43.67</v>
      </c>
      <c r="O8" s="62">
        <v>51.09</v>
      </c>
      <c r="P8" s="62">
        <v>3.93</v>
      </c>
      <c r="Q8" s="73">
        <v>0.44</v>
      </c>
      <c r="R8" s="75"/>
    </row>
    <row r="9" spans="1:18" ht="60">
      <c r="A9" s="96" t="s">
        <v>55</v>
      </c>
      <c r="B9" s="62">
        <v>44.19</v>
      </c>
      <c r="C9" s="62">
        <v>45.18</v>
      </c>
      <c r="D9" s="62">
        <v>8.31</v>
      </c>
      <c r="E9" s="73">
        <v>1.99</v>
      </c>
      <c r="F9" s="62">
        <v>54.2</v>
      </c>
      <c r="G9" s="62">
        <v>39</v>
      </c>
      <c r="H9" s="62">
        <v>6</v>
      </c>
      <c r="I9" s="73">
        <v>0.4</v>
      </c>
      <c r="J9" s="62">
        <v>54.98</v>
      </c>
      <c r="K9" s="62">
        <v>37.659999999999997</v>
      </c>
      <c r="L9" s="62">
        <v>5.19</v>
      </c>
      <c r="M9" s="73">
        <v>2.16</v>
      </c>
      <c r="N9" s="62">
        <v>62.2</v>
      </c>
      <c r="O9" s="62">
        <v>33.54</v>
      </c>
      <c r="P9" s="62">
        <v>2.44</v>
      </c>
      <c r="Q9" s="73">
        <v>1.83</v>
      </c>
    </row>
    <row r="10" spans="1:18">
      <c r="A10" s="96" t="s">
        <v>56</v>
      </c>
      <c r="B10" s="62">
        <v>62.73</v>
      </c>
      <c r="C10" s="62">
        <v>31.68</v>
      </c>
      <c r="D10" s="62">
        <v>4.3499999999999996</v>
      </c>
      <c r="E10" s="73">
        <v>1.25</v>
      </c>
      <c r="F10" s="62">
        <v>65.8</v>
      </c>
      <c r="G10" s="62">
        <v>26.3</v>
      </c>
      <c r="H10" s="62">
        <v>5.9</v>
      </c>
      <c r="I10" s="73">
        <v>1.3</v>
      </c>
      <c r="J10" s="62">
        <v>63.49</v>
      </c>
      <c r="K10" s="62">
        <v>30.16</v>
      </c>
      <c r="L10" s="62">
        <v>4.2300000000000004</v>
      </c>
      <c r="M10" s="73">
        <v>1.06</v>
      </c>
      <c r="N10" s="62">
        <v>60.67</v>
      </c>
      <c r="O10" s="62">
        <v>30.9</v>
      </c>
      <c r="P10" s="62">
        <v>6.74</v>
      </c>
      <c r="Q10" s="73">
        <v>1.69</v>
      </c>
    </row>
    <row r="11" spans="1:18" ht="60">
      <c r="A11" s="96" t="s">
        <v>57</v>
      </c>
      <c r="B11" s="62">
        <v>42.76</v>
      </c>
      <c r="C11" s="62">
        <v>44.08</v>
      </c>
      <c r="D11" s="62">
        <v>10.53</v>
      </c>
      <c r="E11" s="73">
        <v>1.32</v>
      </c>
      <c r="F11" s="62">
        <v>50</v>
      </c>
      <c r="G11" s="62">
        <v>43.8</v>
      </c>
      <c r="H11" s="62">
        <v>5.5</v>
      </c>
      <c r="I11" s="73">
        <v>0</v>
      </c>
      <c r="J11" s="62">
        <v>50.61</v>
      </c>
      <c r="K11" s="62">
        <v>42.68</v>
      </c>
      <c r="L11" s="62">
        <v>5.49</v>
      </c>
      <c r="M11" s="73">
        <v>0.61</v>
      </c>
      <c r="N11" s="62">
        <v>49.68</v>
      </c>
      <c r="O11" s="62">
        <v>42.58</v>
      </c>
      <c r="P11" s="62">
        <v>6.45</v>
      </c>
      <c r="Q11" s="73">
        <v>0.65</v>
      </c>
    </row>
    <row r="12" spans="1:18" ht="45">
      <c r="A12" s="96" t="s">
        <v>58</v>
      </c>
      <c r="B12" s="62">
        <v>45.31</v>
      </c>
      <c r="C12" s="62">
        <v>42.97</v>
      </c>
      <c r="D12" s="62">
        <v>7.81</v>
      </c>
      <c r="E12" s="73">
        <v>2.34</v>
      </c>
      <c r="F12" s="62">
        <v>57.1</v>
      </c>
      <c r="G12" s="62">
        <v>38.299999999999997</v>
      </c>
      <c r="H12" s="62">
        <v>3.9</v>
      </c>
      <c r="I12" s="73">
        <v>0</v>
      </c>
      <c r="J12" s="62">
        <v>44.72</v>
      </c>
      <c r="K12" s="62">
        <v>43.09</v>
      </c>
      <c r="L12" s="62">
        <v>10.57</v>
      </c>
      <c r="M12" s="73">
        <v>0</v>
      </c>
      <c r="N12" s="62">
        <v>41.09</v>
      </c>
      <c r="O12" s="62">
        <v>51.94</v>
      </c>
      <c r="P12" s="62">
        <v>6.2</v>
      </c>
      <c r="Q12" s="73">
        <v>0</v>
      </c>
    </row>
    <row r="13" spans="1:18">
      <c r="A13" s="96" t="s">
        <v>59</v>
      </c>
      <c r="B13" s="62">
        <v>48.86</v>
      </c>
      <c r="C13" s="62">
        <v>42.05</v>
      </c>
      <c r="D13" s="62">
        <v>6.82</v>
      </c>
      <c r="E13" s="73">
        <v>0</v>
      </c>
      <c r="F13" s="62">
        <v>40</v>
      </c>
      <c r="G13" s="62">
        <v>48</v>
      </c>
      <c r="H13" s="62">
        <v>10</v>
      </c>
      <c r="I13" s="73">
        <v>2</v>
      </c>
      <c r="J13" s="62">
        <v>59.18</v>
      </c>
      <c r="K13" s="62">
        <v>34.69</v>
      </c>
      <c r="L13" s="62">
        <v>5.0999999999999996</v>
      </c>
      <c r="M13" s="73">
        <v>1.02</v>
      </c>
      <c r="N13" s="62">
        <v>54.76</v>
      </c>
      <c r="O13" s="62">
        <v>35.71</v>
      </c>
      <c r="P13" s="62">
        <v>9.52</v>
      </c>
      <c r="Q13" s="73">
        <v>0</v>
      </c>
    </row>
    <row r="14" spans="1:18" ht="45">
      <c r="A14" s="96" t="s">
        <v>60</v>
      </c>
      <c r="B14" s="62">
        <v>46.43</v>
      </c>
      <c r="C14" s="62">
        <v>37.5</v>
      </c>
      <c r="D14" s="62">
        <v>12.5</v>
      </c>
      <c r="E14" s="73">
        <v>3.57</v>
      </c>
      <c r="F14" s="62">
        <v>63.3</v>
      </c>
      <c r="G14" s="62">
        <v>26.5</v>
      </c>
      <c r="H14" s="62">
        <v>8.1999999999999993</v>
      </c>
      <c r="I14" s="73">
        <v>2</v>
      </c>
      <c r="J14" s="62">
        <v>49.23</v>
      </c>
      <c r="K14" s="62">
        <v>41.54</v>
      </c>
      <c r="L14" s="62">
        <v>7.69</v>
      </c>
      <c r="M14" s="73">
        <v>1.54</v>
      </c>
      <c r="N14" s="62">
        <v>55.41</v>
      </c>
      <c r="O14" s="62">
        <v>29.73</v>
      </c>
      <c r="P14" s="62">
        <v>9.4600000000000009</v>
      </c>
      <c r="Q14" s="73">
        <v>5.41</v>
      </c>
    </row>
    <row r="15" spans="1:18" ht="45">
      <c r="A15" s="119" t="s">
        <v>61</v>
      </c>
      <c r="B15" s="66">
        <v>14.07</v>
      </c>
      <c r="C15" s="66">
        <v>45.78</v>
      </c>
      <c r="D15" s="66">
        <v>31.71</v>
      </c>
      <c r="E15" s="74">
        <v>7.93</v>
      </c>
      <c r="F15" s="66">
        <v>17.5</v>
      </c>
      <c r="G15" s="66">
        <v>51.8</v>
      </c>
      <c r="H15" s="66">
        <v>23.6</v>
      </c>
      <c r="I15" s="74">
        <v>6.6</v>
      </c>
      <c r="J15" s="66">
        <v>18.329999999999998</v>
      </c>
      <c r="K15" s="66">
        <v>56.11</v>
      </c>
      <c r="L15" s="66">
        <v>19.91</v>
      </c>
      <c r="M15" s="74">
        <v>5.43</v>
      </c>
      <c r="N15" s="66">
        <v>21.28</v>
      </c>
      <c r="O15" s="66">
        <v>47.52</v>
      </c>
      <c r="P15" s="66">
        <v>25.66</v>
      </c>
      <c r="Q15" s="74">
        <v>4.96</v>
      </c>
      <c r="R15" s="52"/>
    </row>
    <row r="16" spans="1:18" ht="54" customHeight="1">
      <c r="A16" s="154"/>
      <c r="B16" s="219" t="s">
        <v>239</v>
      </c>
      <c r="C16" s="202"/>
      <c r="D16" s="202"/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196"/>
      <c r="R16" s="52"/>
    </row>
    <row r="17" spans="1:18">
      <c r="A17" s="181"/>
      <c r="B17" s="216" t="s">
        <v>40</v>
      </c>
      <c r="C17" s="202"/>
      <c r="D17" s="202"/>
      <c r="E17" s="196"/>
      <c r="F17" s="216" t="s">
        <v>41</v>
      </c>
      <c r="G17" s="202"/>
      <c r="H17" s="202"/>
      <c r="I17" s="196"/>
      <c r="J17" s="216" t="s">
        <v>42</v>
      </c>
      <c r="K17" s="202"/>
      <c r="L17" s="202"/>
      <c r="M17" s="196"/>
      <c r="N17" s="216" t="s">
        <v>43</v>
      </c>
      <c r="O17" s="202"/>
      <c r="P17" s="202"/>
      <c r="Q17" s="196"/>
      <c r="R17" s="52"/>
    </row>
    <row r="18" spans="1:18" ht="45">
      <c r="A18" s="100" t="s">
        <v>48</v>
      </c>
      <c r="B18" s="42" t="s">
        <v>240</v>
      </c>
      <c r="C18" s="80" t="s">
        <v>241</v>
      </c>
      <c r="D18" s="80" t="s">
        <v>242</v>
      </c>
      <c r="E18" s="83" t="s">
        <v>243</v>
      </c>
      <c r="F18" s="42" t="s">
        <v>240</v>
      </c>
      <c r="G18" s="80" t="s">
        <v>241</v>
      </c>
      <c r="H18" s="80" t="s">
        <v>242</v>
      </c>
      <c r="I18" s="83" t="s">
        <v>243</v>
      </c>
      <c r="J18" s="42" t="s">
        <v>240</v>
      </c>
      <c r="K18" s="80" t="s">
        <v>241</v>
      </c>
      <c r="L18" s="80" t="s">
        <v>242</v>
      </c>
      <c r="M18" s="83" t="s">
        <v>243</v>
      </c>
      <c r="N18" s="42" t="s">
        <v>240</v>
      </c>
      <c r="O18" s="80" t="s">
        <v>241</v>
      </c>
      <c r="P18" s="80" t="s">
        <v>242</v>
      </c>
      <c r="Q18" s="83" t="s">
        <v>243</v>
      </c>
      <c r="R18" s="52"/>
    </row>
    <row r="19" spans="1:18" ht="30">
      <c r="A19" s="96" t="s">
        <v>62</v>
      </c>
      <c r="B19" s="62">
        <v>64.849999999999994</v>
      </c>
      <c r="C19" s="62">
        <v>26.06</v>
      </c>
      <c r="D19" s="62">
        <v>7.27</v>
      </c>
      <c r="E19" s="72">
        <v>0.61</v>
      </c>
      <c r="F19" s="62">
        <v>66.900000000000006</v>
      </c>
      <c r="G19" s="62">
        <v>31.1</v>
      </c>
      <c r="H19" s="62">
        <v>0.7</v>
      </c>
      <c r="I19" s="72">
        <v>0</v>
      </c>
      <c r="J19" s="62">
        <v>63.53</v>
      </c>
      <c r="K19" s="62">
        <v>32.94</v>
      </c>
      <c r="L19" s="62">
        <v>3.53</v>
      </c>
      <c r="M19" s="73">
        <v>0</v>
      </c>
      <c r="N19" s="62">
        <v>70.52</v>
      </c>
      <c r="O19" s="62">
        <v>27.75</v>
      </c>
      <c r="P19" s="62">
        <v>1.73</v>
      </c>
      <c r="Q19" s="72">
        <v>0</v>
      </c>
      <c r="R19" s="52"/>
    </row>
    <row r="20" spans="1:18" ht="45">
      <c r="A20" s="96" t="s">
        <v>63</v>
      </c>
      <c r="B20" s="62">
        <v>45.63</v>
      </c>
      <c r="C20" s="62">
        <v>46.57</v>
      </c>
      <c r="D20" s="62">
        <v>6.62</v>
      </c>
      <c r="E20" s="73">
        <v>0.71</v>
      </c>
      <c r="F20" s="62">
        <v>52.2</v>
      </c>
      <c r="G20" s="62">
        <v>41.4</v>
      </c>
      <c r="H20" s="62">
        <v>4.7</v>
      </c>
      <c r="I20" s="73">
        <v>1</v>
      </c>
      <c r="J20" s="62">
        <v>50.14</v>
      </c>
      <c r="K20" s="62">
        <v>42.7</v>
      </c>
      <c r="L20" s="62">
        <v>5.79</v>
      </c>
      <c r="M20" s="73">
        <v>1.1000000000000001</v>
      </c>
      <c r="N20" s="62">
        <v>50</v>
      </c>
      <c r="O20" s="62">
        <v>45.19</v>
      </c>
      <c r="P20" s="62">
        <v>4.33</v>
      </c>
      <c r="Q20" s="73">
        <v>0</v>
      </c>
      <c r="R20" s="52"/>
    </row>
    <row r="21" spans="1:18" ht="15.75" customHeight="1">
      <c r="A21" s="96" t="s">
        <v>64</v>
      </c>
      <c r="B21" s="62">
        <v>65.040000000000006</v>
      </c>
      <c r="C21" s="62">
        <v>26.83</v>
      </c>
      <c r="D21" s="62">
        <v>5.69</v>
      </c>
      <c r="E21" s="73">
        <v>1.63</v>
      </c>
      <c r="F21" s="62">
        <v>66.2</v>
      </c>
      <c r="G21" s="62">
        <v>31.1</v>
      </c>
      <c r="H21" s="62">
        <v>2.7</v>
      </c>
      <c r="I21" s="73">
        <v>0</v>
      </c>
      <c r="J21" s="62">
        <v>62.96</v>
      </c>
      <c r="K21" s="62">
        <v>34.57</v>
      </c>
      <c r="L21" s="62">
        <v>1.85</v>
      </c>
      <c r="M21" s="73">
        <v>0.62</v>
      </c>
      <c r="N21" s="62">
        <v>67.069999999999993</v>
      </c>
      <c r="O21" s="62">
        <v>28.14</v>
      </c>
      <c r="P21" s="62">
        <v>4.79</v>
      </c>
      <c r="Q21" s="73">
        <v>0</v>
      </c>
    </row>
    <row r="22" spans="1:18" ht="15.75" customHeight="1">
      <c r="A22" s="96" t="s">
        <v>65</v>
      </c>
      <c r="B22" s="62">
        <v>44.23</v>
      </c>
      <c r="C22" s="62">
        <v>42.26</v>
      </c>
      <c r="D22" s="62">
        <v>10.32</v>
      </c>
      <c r="E22" s="74">
        <v>1.23</v>
      </c>
      <c r="F22" s="62">
        <v>46.4</v>
      </c>
      <c r="G22" s="62">
        <v>42.3</v>
      </c>
      <c r="H22" s="62">
        <v>9.3000000000000007</v>
      </c>
      <c r="I22" s="74">
        <v>1.3</v>
      </c>
      <c r="J22" s="62">
        <v>44.27</v>
      </c>
      <c r="K22" s="62">
        <v>48.31</v>
      </c>
      <c r="L22" s="62">
        <v>6.29</v>
      </c>
      <c r="M22" s="73">
        <v>0.67</v>
      </c>
      <c r="N22" s="62">
        <v>50.95</v>
      </c>
      <c r="O22" s="62">
        <v>39.81</v>
      </c>
      <c r="P22" s="62">
        <v>7.82</v>
      </c>
      <c r="Q22" s="74">
        <v>0.95</v>
      </c>
    </row>
    <row r="23" spans="1:18" ht="15.75" customHeight="1">
      <c r="A23" s="92" t="s">
        <v>66</v>
      </c>
      <c r="B23" s="182">
        <v>43.3</v>
      </c>
      <c r="C23" s="183">
        <v>42</v>
      </c>
      <c r="D23" s="183">
        <v>11.6</v>
      </c>
      <c r="E23" s="184">
        <v>2.1</v>
      </c>
      <c r="F23" s="104">
        <v>48.1</v>
      </c>
      <c r="G23" s="104">
        <v>40.799999999999997</v>
      </c>
      <c r="H23" s="104">
        <v>88.9</v>
      </c>
      <c r="I23" s="106">
        <v>1.6</v>
      </c>
      <c r="J23" s="104">
        <v>45.96</v>
      </c>
      <c r="K23" s="104">
        <v>43.71</v>
      </c>
      <c r="L23" s="104">
        <v>8.2200000000000006</v>
      </c>
      <c r="M23" s="106">
        <v>1.62</v>
      </c>
      <c r="N23" s="51">
        <v>48.74</v>
      </c>
      <c r="O23" s="51">
        <v>40.82</v>
      </c>
      <c r="P23" s="51">
        <v>8.52</v>
      </c>
      <c r="Q23" s="105">
        <v>1.49</v>
      </c>
    </row>
    <row r="24" spans="1:18" ht="15.75" customHeight="1">
      <c r="A24" s="107" t="s">
        <v>10</v>
      </c>
      <c r="B24" s="110">
        <v>37.6</v>
      </c>
      <c r="C24" s="110">
        <v>46.5</v>
      </c>
      <c r="D24" s="110">
        <v>12.4</v>
      </c>
      <c r="E24" s="110">
        <v>2.6</v>
      </c>
      <c r="F24" s="109">
        <v>38.1</v>
      </c>
      <c r="G24" s="110">
        <v>47.6</v>
      </c>
      <c r="H24" s="110">
        <v>11.4</v>
      </c>
      <c r="I24" s="111">
        <v>2.4</v>
      </c>
      <c r="J24" s="110">
        <v>38.299999999999997</v>
      </c>
      <c r="K24" s="110">
        <v>47.3</v>
      </c>
      <c r="L24" s="110">
        <v>11.5</v>
      </c>
      <c r="M24" s="111">
        <v>2.4</v>
      </c>
      <c r="N24" s="110">
        <v>38.299999999999997</v>
      </c>
      <c r="O24" s="110">
        <v>46.7</v>
      </c>
      <c r="P24" s="110">
        <v>12.4</v>
      </c>
      <c r="Q24" s="111">
        <v>2.4</v>
      </c>
      <c r="R24" s="52"/>
    </row>
    <row r="25" spans="1:18" ht="15" customHeight="1">
      <c r="A25" s="193" t="s">
        <v>15</v>
      </c>
      <c r="B25" s="194"/>
      <c r="C25" s="194"/>
      <c r="D25" s="194"/>
      <c r="E25" s="194"/>
      <c r="F25" s="194"/>
      <c r="G25" s="91"/>
    </row>
    <row r="26" spans="1:18" ht="15.75" customHeight="1"/>
    <row r="27" spans="1:18" ht="15.75" customHeight="1"/>
    <row r="28" spans="1:18" ht="15.75" customHeight="1"/>
    <row r="29" spans="1:18" ht="15.75" customHeight="1"/>
    <row r="30" spans="1:18" ht="15.75" customHeight="1"/>
    <row r="31" spans="1:18" ht="15.75" customHeight="1"/>
    <row r="32" spans="1:18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17:E17"/>
    <mergeCell ref="F17:I17"/>
    <mergeCell ref="J17:M17"/>
    <mergeCell ref="N17:Q17"/>
    <mergeCell ref="A25:F25"/>
    <mergeCell ref="B16:Q16"/>
    <mergeCell ref="A1:Q1"/>
    <mergeCell ref="B3:Q3"/>
    <mergeCell ref="B4:E4"/>
    <mergeCell ref="F4:I4"/>
    <mergeCell ref="J4:M4"/>
    <mergeCell ref="N4:Q4"/>
  </mergeCells>
  <pageMargins left="0.7" right="0.7" top="0.75" bottom="0.75" header="0" footer="0"/>
  <pageSetup paperSize="9" scale="5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1000"/>
  <sheetViews>
    <sheetView view="pageBreakPreview" topLeftCell="A52" zoomScale="60" zoomScaleNormal="100" workbookViewId="0"/>
  </sheetViews>
  <sheetFormatPr defaultColWidth="14.42578125" defaultRowHeight="15" customHeight="1"/>
  <cols>
    <col min="1" max="1" width="10" customWidth="1"/>
    <col min="2" max="26" width="8.7109375" customWidth="1"/>
  </cols>
  <sheetData>
    <row r="1" spans="1:1">
      <c r="A1" s="54" t="s">
        <v>244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spans="1:1" ht="15.75" customHeight="1"/>
    <row r="34" spans="1:1" ht="15.75" customHeight="1"/>
    <row r="35" spans="1:1" ht="15.75" customHeight="1"/>
    <row r="36" spans="1:1" ht="15.75" customHeight="1"/>
    <row r="37" spans="1:1" ht="15.75" customHeight="1"/>
    <row r="38" spans="1:1" ht="15.75" customHeight="1"/>
    <row r="39" spans="1:1" ht="15.75" customHeight="1"/>
    <row r="40" spans="1:1" ht="15.75" customHeight="1"/>
    <row r="41" spans="1:1" ht="15.75" customHeight="1"/>
    <row r="42" spans="1:1" ht="15.75" customHeight="1">
      <c r="A42" s="54" t="s">
        <v>245</v>
      </c>
    </row>
    <row r="43" spans="1:1" ht="15.75" customHeight="1"/>
    <row r="44" spans="1:1" ht="15.75" customHeight="1"/>
    <row r="45" spans="1:1" ht="15.75" customHeight="1"/>
    <row r="46" spans="1:1" ht="15.75" customHeight="1"/>
    <row r="47" spans="1:1" ht="15.75" customHeight="1"/>
    <row r="48" spans="1: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scale="5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0"/>
  <sheetViews>
    <sheetView view="pageBreakPreview" zoomScale="60" zoomScaleNormal="100" workbookViewId="0"/>
  </sheetViews>
  <sheetFormatPr defaultColWidth="14.42578125" defaultRowHeight="15" customHeight="1"/>
  <cols>
    <col min="1" max="1" width="13.85546875" customWidth="1"/>
    <col min="2" max="2" width="9.5703125" customWidth="1"/>
    <col min="3" max="3" width="14.7109375" customWidth="1"/>
    <col min="4" max="4" width="8.7109375" customWidth="1"/>
    <col min="5" max="5" width="9.85546875" customWidth="1"/>
    <col min="6" max="6" width="8.7109375" customWidth="1"/>
    <col min="7" max="7" width="9.85546875" customWidth="1"/>
    <col min="8" max="8" width="9.140625" customWidth="1"/>
    <col min="9" max="9" width="9.85546875" customWidth="1"/>
    <col min="10" max="12" width="8.7109375" customWidth="1"/>
    <col min="13" max="13" width="10.85546875" customWidth="1"/>
    <col min="14" max="18" width="8.7109375" customWidth="1"/>
    <col min="19" max="19" width="10" customWidth="1"/>
    <col min="20" max="24" width="8.7109375" customWidth="1"/>
    <col min="25" max="25" width="10.140625" customWidth="1"/>
    <col min="26" max="26" width="8.7109375" customWidth="1"/>
  </cols>
  <sheetData>
    <row r="1" spans="1:26">
      <c r="A1" s="6" t="s">
        <v>3</v>
      </c>
      <c r="B1" s="7"/>
      <c r="C1" s="7"/>
      <c r="D1" s="7"/>
      <c r="E1" s="7"/>
      <c r="F1" s="7"/>
      <c r="G1" s="8"/>
      <c r="H1" s="8"/>
      <c r="I1" s="8"/>
    </row>
    <row r="2" spans="1:26">
      <c r="A2" s="6"/>
      <c r="B2" s="216" t="s">
        <v>4</v>
      </c>
      <c r="C2" s="202"/>
      <c r="D2" s="202"/>
      <c r="E2" s="196"/>
      <c r="F2" s="217" t="s">
        <v>5</v>
      </c>
      <c r="G2" s="202"/>
      <c r="H2" s="202"/>
      <c r="I2" s="196"/>
    </row>
    <row r="3" spans="1:26">
      <c r="A3" s="210" t="s">
        <v>6</v>
      </c>
      <c r="B3" s="218" t="s">
        <v>7</v>
      </c>
      <c r="C3" s="194"/>
      <c r="D3" s="206" t="s">
        <v>8</v>
      </c>
      <c r="E3" s="194"/>
      <c r="F3" s="218" t="s">
        <v>7</v>
      </c>
      <c r="G3" s="194"/>
      <c r="H3" s="207" t="s">
        <v>8</v>
      </c>
      <c r="I3" s="198"/>
    </row>
    <row r="4" spans="1:26" ht="15" customHeight="1">
      <c r="A4" s="211"/>
      <c r="B4" s="209"/>
      <c r="C4" s="209"/>
      <c r="D4" s="209"/>
      <c r="E4" s="209"/>
      <c r="F4" s="209"/>
      <c r="G4" s="209"/>
      <c r="H4" s="199"/>
      <c r="I4" s="200"/>
    </row>
    <row r="5" spans="1:26">
      <c r="A5" s="212"/>
      <c r="B5" s="10" t="s">
        <v>9</v>
      </c>
      <c r="C5" s="11" t="s">
        <v>10</v>
      </c>
      <c r="D5" s="10" t="s">
        <v>9</v>
      </c>
      <c r="E5" s="11" t="s">
        <v>10</v>
      </c>
      <c r="F5" s="10" t="s">
        <v>9</v>
      </c>
      <c r="G5" s="11" t="s">
        <v>10</v>
      </c>
      <c r="H5" s="10" t="s">
        <v>9</v>
      </c>
      <c r="I5" s="12" t="s">
        <v>10</v>
      </c>
    </row>
    <row r="6" spans="1:26" ht="45">
      <c r="A6" s="13" t="s">
        <v>11</v>
      </c>
      <c r="B6" s="14">
        <v>1438</v>
      </c>
      <c r="C6" s="15">
        <v>162615</v>
      </c>
      <c r="D6" s="16">
        <v>97.01</v>
      </c>
      <c r="E6" s="17">
        <v>93.8</v>
      </c>
      <c r="F6" s="14">
        <v>1490</v>
      </c>
      <c r="G6" s="15">
        <v>155131</v>
      </c>
      <c r="H6" s="16">
        <v>96.2</v>
      </c>
      <c r="I6" s="18">
        <v>94.3</v>
      </c>
    </row>
    <row r="7" spans="1:26" ht="60">
      <c r="A7" s="13" t="s">
        <v>12</v>
      </c>
      <c r="B7" s="14">
        <v>1043</v>
      </c>
      <c r="C7" s="15">
        <v>101654</v>
      </c>
      <c r="D7" s="16">
        <v>94.63</v>
      </c>
      <c r="E7" s="19">
        <v>92</v>
      </c>
      <c r="F7" s="14">
        <v>919</v>
      </c>
      <c r="G7" s="15">
        <v>94090</v>
      </c>
      <c r="H7" s="16">
        <v>95.6</v>
      </c>
      <c r="I7" s="18">
        <v>92.8</v>
      </c>
    </row>
    <row r="8" spans="1:26" ht="60">
      <c r="A8" s="13" t="s">
        <v>13</v>
      </c>
      <c r="B8" s="14">
        <v>429</v>
      </c>
      <c r="C8" s="15">
        <v>30835</v>
      </c>
      <c r="D8" s="16">
        <v>95.34</v>
      </c>
      <c r="E8" s="19">
        <v>92.8</v>
      </c>
      <c r="F8" s="14">
        <v>386</v>
      </c>
      <c r="G8" s="15">
        <v>31874</v>
      </c>
      <c r="H8" s="16">
        <v>97.2</v>
      </c>
      <c r="I8" s="18">
        <v>93.5</v>
      </c>
    </row>
    <row r="9" spans="1:26" ht="31.5" customHeight="1">
      <c r="A9" s="20" t="s">
        <v>14</v>
      </c>
      <c r="B9" s="21">
        <v>2910</v>
      </c>
      <c r="C9" s="22">
        <v>295104</v>
      </c>
      <c r="D9" s="23">
        <v>95.91</v>
      </c>
      <c r="E9" s="24">
        <v>93.1</v>
      </c>
      <c r="F9" s="21">
        <v>2795</v>
      </c>
      <c r="G9" s="22">
        <v>281095</v>
      </c>
      <c r="H9" s="23">
        <v>96.1</v>
      </c>
      <c r="I9" s="25">
        <v>93.7</v>
      </c>
    </row>
    <row r="10" spans="1:26">
      <c r="A10" s="193" t="s">
        <v>15</v>
      </c>
      <c r="B10" s="194"/>
      <c r="C10" s="194"/>
      <c r="D10" s="194"/>
      <c r="E10" s="194"/>
      <c r="F10" s="194"/>
      <c r="G10" s="26"/>
      <c r="H10" s="27"/>
      <c r="I10" s="28"/>
    </row>
    <row r="11" spans="1:26">
      <c r="A11" s="208" t="s">
        <v>16</v>
      </c>
      <c r="B11" s="209"/>
      <c r="C11" s="209"/>
      <c r="D11" s="209"/>
      <c r="E11" s="209"/>
      <c r="F11" s="209"/>
      <c r="G11" s="209"/>
      <c r="H11" s="27"/>
      <c r="I11" s="28"/>
    </row>
    <row r="13" spans="1:26">
      <c r="A13" s="204" t="s">
        <v>17</v>
      </c>
      <c r="B13" s="205"/>
      <c r="C13" s="205"/>
      <c r="D13" s="205"/>
      <c r="E13" s="205"/>
      <c r="F13" s="205"/>
    </row>
    <row r="14" spans="1:26" ht="15" customHeight="1">
      <c r="A14" s="210" t="s">
        <v>6</v>
      </c>
      <c r="B14" s="213" t="s">
        <v>18</v>
      </c>
      <c r="C14" s="198"/>
      <c r="D14" s="207" t="s">
        <v>19</v>
      </c>
      <c r="E14" s="198"/>
      <c r="F14" s="207" t="s">
        <v>20</v>
      </c>
      <c r="G14" s="198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15" customHeight="1">
      <c r="A15" s="211"/>
      <c r="B15" s="214"/>
      <c r="C15" s="215"/>
      <c r="D15" s="199"/>
      <c r="E15" s="200"/>
      <c r="F15" s="199"/>
      <c r="G15" s="200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>
      <c r="A16" s="212"/>
      <c r="B16" s="10" t="s">
        <v>9</v>
      </c>
      <c r="C16" s="12" t="s">
        <v>10</v>
      </c>
      <c r="D16" s="11" t="s">
        <v>9</v>
      </c>
      <c r="E16" s="11" t="s">
        <v>10</v>
      </c>
      <c r="F16" s="10" t="s">
        <v>9</v>
      </c>
      <c r="G16" s="12" t="s">
        <v>10</v>
      </c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45">
      <c r="A17" s="13" t="s">
        <v>11</v>
      </c>
      <c r="B17" s="30">
        <v>66.62</v>
      </c>
      <c r="C17" s="17">
        <v>59.7</v>
      </c>
      <c r="D17" s="31">
        <v>35.67</v>
      </c>
      <c r="E17" s="32">
        <v>20.8</v>
      </c>
      <c r="F17" s="30">
        <v>5.49</v>
      </c>
      <c r="G17" s="17">
        <v>3.2</v>
      </c>
      <c r="H17" s="29"/>
      <c r="I17" s="33"/>
      <c r="J17" s="34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60">
      <c r="A18" s="13" t="s">
        <v>12</v>
      </c>
      <c r="B18" s="16">
        <v>62.32</v>
      </c>
      <c r="C18" s="18">
        <v>57.7</v>
      </c>
      <c r="D18" s="35">
        <v>52.83</v>
      </c>
      <c r="E18" s="19">
        <v>31.7</v>
      </c>
      <c r="F18" s="16">
        <v>14.19</v>
      </c>
      <c r="G18" s="18">
        <v>7.7</v>
      </c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60">
      <c r="A19" s="13" t="s">
        <v>13</v>
      </c>
      <c r="B19" s="16">
        <v>66.2</v>
      </c>
      <c r="C19" s="18">
        <v>68.599999999999994</v>
      </c>
      <c r="D19" s="35">
        <v>65.03</v>
      </c>
      <c r="E19" s="19">
        <v>23.2</v>
      </c>
      <c r="F19" s="16">
        <v>4.43</v>
      </c>
      <c r="G19" s="18">
        <v>2.8</v>
      </c>
      <c r="H19" s="33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30">
      <c r="A20" s="20" t="s">
        <v>21</v>
      </c>
      <c r="B20" s="23">
        <v>65.02</v>
      </c>
      <c r="C20" s="36">
        <v>60</v>
      </c>
      <c r="D20" s="23">
        <v>46.15</v>
      </c>
      <c r="E20" s="36">
        <v>24.8</v>
      </c>
      <c r="F20" s="23">
        <v>8.4499999999999993</v>
      </c>
      <c r="G20" s="37">
        <v>4.7</v>
      </c>
      <c r="H20" s="29"/>
      <c r="I20" s="33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15.75" customHeight="1">
      <c r="A21" s="193" t="s">
        <v>15</v>
      </c>
      <c r="B21" s="194"/>
      <c r="C21" s="194"/>
      <c r="D21" s="194"/>
      <c r="E21" s="194"/>
      <c r="F21" s="194"/>
      <c r="G21" s="38"/>
      <c r="H21" s="38"/>
      <c r="I21" s="38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15.75" customHeight="1">
      <c r="A22" s="39"/>
      <c r="B22" s="39"/>
      <c r="C22" s="39"/>
      <c r="D22" s="39"/>
      <c r="E22" s="39"/>
      <c r="F22" s="39"/>
      <c r="G22" s="38"/>
      <c r="H22" s="38"/>
      <c r="I22" s="38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15.75" customHeight="1">
      <c r="A23" s="204" t="s">
        <v>22</v>
      </c>
      <c r="B23" s="205"/>
      <c r="C23" s="205"/>
      <c r="D23" s="205"/>
      <c r="E23" s="205"/>
      <c r="F23" s="205"/>
      <c r="G23" s="205"/>
      <c r="N23" s="33"/>
    </row>
    <row r="24" spans="1:26" ht="34.5" customHeight="1">
      <c r="A24" s="224" t="s">
        <v>6</v>
      </c>
      <c r="B24" s="206" t="s">
        <v>23</v>
      </c>
      <c r="C24" s="194"/>
      <c r="D24" s="207" t="s">
        <v>24</v>
      </c>
      <c r="E24" s="198"/>
      <c r="F24" s="206" t="s">
        <v>25</v>
      </c>
      <c r="G24" s="198"/>
      <c r="L24" s="40"/>
    </row>
    <row r="25" spans="1:26" ht="15.75" customHeight="1">
      <c r="A25" s="212"/>
      <c r="B25" s="10" t="s">
        <v>9</v>
      </c>
      <c r="C25" s="11" t="s">
        <v>10</v>
      </c>
      <c r="D25" s="10" t="s">
        <v>9</v>
      </c>
      <c r="E25" s="12" t="s">
        <v>10</v>
      </c>
      <c r="F25" s="11" t="s">
        <v>9</v>
      </c>
      <c r="G25" s="12" t="s">
        <v>10</v>
      </c>
    </row>
    <row r="26" spans="1:26" ht="15.75" customHeight="1">
      <c r="A26" s="13" t="s">
        <v>11</v>
      </c>
      <c r="B26" s="16">
        <v>25.5962</v>
      </c>
      <c r="C26" s="19">
        <v>24.5</v>
      </c>
      <c r="D26" s="16">
        <v>101.5431</v>
      </c>
      <c r="E26" s="18">
        <v>101.2</v>
      </c>
      <c r="F26" s="35">
        <v>58.41</v>
      </c>
      <c r="G26" s="18">
        <v>61.3</v>
      </c>
    </row>
    <row r="27" spans="1:26" ht="15.75" customHeight="1">
      <c r="A27" s="13" t="s">
        <v>12</v>
      </c>
      <c r="B27" s="16">
        <v>27.831060000000001</v>
      </c>
      <c r="C27" s="19">
        <v>27.2</v>
      </c>
      <c r="D27" s="16">
        <v>107.7747</v>
      </c>
      <c r="E27" s="18">
        <v>107.8</v>
      </c>
      <c r="F27" s="35">
        <v>58.01</v>
      </c>
      <c r="G27" s="18">
        <v>64.8</v>
      </c>
    </row>
    <row r="28" spans="1:26" ht="15.75" customHeight="1">
      <c r="A28" s="13" t="s">
        <v>13</v>
      </c>
      <c r="B28" s="16">
        <v>27.383990000000001</v>
      </c>
      <c r="C28" s="19">
        <v>27.1</v>
      </c>
      <c r="D28" s="16">
        <v>106.3869</v>
      </c>
      <c r="E28" s="18">
        <v>106.2</v>
      </c>
      <c r="F28" s="35">
        <v>44.76</v>
      </c>
      <c r="G28" s="18">
        <v>52.3</v>
      </c>
    </row>
    <row r="29" spans="1:26" ht="45" customHeight="1">
      <c r="A29" s="20" t="s">
        <v>26</v>
      </c>
      <c r="B29" s="41">
        <v>26.660779999999999</v>
      </c>
      <c r="C29" s="24">
        <v>25.7</v>
      </c>
      <c r="D29" s="23">
        <v>104.4907</v>
      </c>
      <c r="E29" s="25">
        <v>104</v>
      </c>
      <c r="F29" s="41">
        <v>56.25</v>
      </c>
      <c r="G29" s="25">
        <v>61.5</v>
      </c>
    </row>
    <row r="30" spans="1:26" ht="15" customHeight="1">
      <c r="A30" s="193" t="s">
        <v>15</v>
      </c>
      <c r="B30" s="194"/>
      <c r="C30" s="194"/>
      <c r="D30" s="194"/>
      <c r="E30" s="194"/>
      <c r="F30" s="194"/>
    </row>
    <row r="31" spans="1:26" ht="15.75" customHeight="1"/>
    <row r="32" spans="1:26" ht="30" customHeight="1">
      <c r="A32" s="228" t="s">
        <v>27</v>
      </c>
      <c r="B32" s="229"/>
      <c r="C32" s="229"/>
      <c r="D32" s="229"/>
      <c r="E32" s="229"/>
      <c r="F32" s="229"/>
      <c r="G32" s="229"/>
      <c r="H32" s="190"/>
      <c r="I32" s="190"/>
      <c r="J32" s="190"/>
      <c r="K32" s="190"/>
      <c r="L32" s="29"/>
      <c r="M32" s="29"/>
    </row>
    <row r="33" spans="1:16" ht="90.75" customHeight="1">
      <c r="A33" s="225" t="s">
        <v>28</v>
      </c>
      <c r="B33" s="230" t="s">
        <v>29</v>
      </c>
      <c r="C33" s="190"/>
      <c r="D33" s="231" t="s">
        <v>30</v>
      </c>
      <c r="E33" s="215"/>
      <c r="F33" s="232" t="s">
        <v>31</v>
      </c>
      <c r="G33" s="233"/>
      <c r="H33" s="187"/>
      <c r="I33" s="185"/>
      <c r="J33" s="186"/>
      <c r="K33" s="186"/>
      <c r="L33" s="29"/>
    </row>
    <row r="34" spans="1:16" ht="15.75" customHeight="1">
      <c r="A34" s="212"/>
      <c r="B34" s="11" t="s">
        <v>9</v>
      </c>
      <c r="C34" s="11" t="s">
        <v>10</v>
      </c>
      <c r="D34" s="10" t="s">
        <v>9</v>
      </c>
      <c r="E34" s="12" t="s">
        <v>10</v>
      </c>
      <c r="F34" s="11" t="s">
        <v>9</v>
      </c>
      <c r="G34" s="11" t="s">
        <v>10</v>
      </c>
      <c r="H34" s="43"/>
      <c r="I34" s="44"/>
    </row>
    <row r="35" spans="1:16" ht="15.75" customHeight="1">
      <c r="A35" s="13" t="s">
        <v>11</v>
      </c>
      <c r="B35" s="16">
        <v>91.9</v>
      </c>
      <c r="C35" s="45">
        <f>40.9+50.1</f>
        <v>91</v>
      </c>
      <c r="D35" s="16">
        <v>91.76</v>
      </c>
      <c r="E35" s="46">
        <f>24.3+64.4</f>
        <v>88.7</v>
      </c>
      <c r="F35" s="16">
        <v>89.03</v>
      </c>
      <c r="G35" s="47">
        <f>40.6+43.8</f>
        <v>84.4</v>
      </c>
      <c r="H35" s="29"/>
      <c r="I35" s="29"/>
    </row>
    <row r="36" spans="1:16" ht="15.75" customHeight="1">
      <c r="A36" s="48" t="s">
        <v>12</v>
      </c>
      <c r="B36" s="16">
        <v>91.6</v>
      </c>
      <c r="C36" s="45">
        <f>46.6+43.8</f>
        <v>90.4</v>
      </c>
      <c r="D36" s="16">
        <v>93.41</v>
      </c>
      <c r="E36" s="46">
        <f>34.3+56.4</f>
        <v>90.699999999999989</v>
      </c>
      <c r="F36" s="16">
        <v>91.49</v>
      </c>
      <c r="G36" s="46">
        <f>48.7+38.3</f>
        <v>87</v>
      </c>
      <c r="H36" s="29"/>
      <c r="I36" s="29"/>
    </row>
    <row r="37" spans="1:16" ht="15.75" customHeight="1">
      <c r="A37" s="48" t="s">
        <v>13</v>
      </c>
      <c r="B37" s="16">
        <v>83.6</v>
      </c>
      <c r="C37" s="45">
        <f>38.6+49.6</f>
        <v>88.2</v>
      </c>
      <c r="D37" s="16">
        <v>72.13</v>
      </c>
      <c r="E37" s="46">
        <f>21.9+59.6</f>
        <v>81.5</v>
      </c>
      <c r="F37" s="16">
        <v>57.46</v>
      </c>
      <c r="G37" s="49">
        <f>31.7+41.4</f>
        <v>73.099999999999994</v>
      </c>
      <c r="H37" s="29"/>
      <c r="I37" s="33"/>
    </row>
    <row r="38" spans="1:16" ht="15.75" customHeight="1">
      <c r="A38" s="20" t="s">
        <v>21</v>
      </c>
      <c r="B38" s="41">
        <v>90.58</v>
      </c>
      <c r="C38" s="50">
        <f>42.6+47.9</f>
        <v>90.5</v>
      </c>
      <c r="D38" s="41">
        <v>89.47</v>
      </c>
      <c r="E38" s="50">
        <f>27.5+61.2</f>
        <v>88.7</v>
      </c>
      <c r="F38" s="51">
        <v>85.27</v>
      </c>
      <c r="G38" s="50">
        <f>42.4+41.7</f>
        <v>84.1</v>
      </c>
      <c r="H38" s="52"/>
      <c r="I38" s="29"/>
    </row>
    <row r="39" spans="1:16" ht="15" customHeight="1">
      <c r="A39" s="193" t="s">
        <v>15</v>
      </c>
      <c r="B39" s="194"/>
      <c r="C39" s="194"/>
      <c r="D39" s="194"/>
      <c r="E39" s="194"/>
      <c r="F39" s="194"/>
      <c r="G39" s="53"/>
      <c r="H39" s="54"/>
      <c r="I39" s="54"/>
      <c r="J39" s="54"/>
      <c r="K39" s="54"/>
    </row>
    <row r="40" spans="1:16" ht="15" customHeight="1">
      <c r="A40" s="6"/>
      <c r="B40" s="55"/>
      <c r="C40" s="55"/>
      <c r="D40" s="27"/>
      <c r="E40" s="27"/>
      <c r="F40" s="38"/>
      <c r="G40" s="54"/>
      <c r="H40" s="54"/>
      <c r="I40" s="54"/>
      <c r="J40" s="54"/>
      <c r="K40" s="54"/>
    </row>
    <row r="41" spans="1:16" ht="27" customHeight="1">
      <c r="A41" s="234" t="s">
        <v>32</v>
      </c>
      <c r="B41" s="205"/>
      <c r="C41" s="205"/>
      <c r="D41" s="205"/>
      <c r="E41" s="205"/>
      <c r="F41" s="205"/>
      <c r="G41" s="205"/>
      <c r="H41" s="205"/>
      <c r="I41" s="205"/>
    </row>
    <row r="42" spans="1:16" ht="15" customHeight="1">
      <c r="A42" s="226" t="s">
        <v>28</v>
      </c>
      <c r="B42" s="197" t="s">
        <v>33</v>
      </c>
      <c r="C42" s="198"/>
      <c r="D42" s="201" t="s">
        <v>9</v>
      </c>
      <c r="E42" s="202"/>
      <c r="F42" s="202"/>
      <c r="G42" s="56"/>
      <c r="H42" s="203" t="s">
        <v>10</v>
      </c>
      <c r="I42" s="202"/>
      <c r="J42" s="202"/>
      <c r="K42" s="196"/>
      <c r="L42" s="29"/>
      <c r="M42" s="29"/>
      <c r="N42" s="29"/>
    </row>
    <row r="43" spans="1:16" ht="29.25" customHeight="1">
      <c r="A43" s="212"/>
      <c r="B43" s="199"/>
      <c r="C43" s="200"/>
      <c r="D43" s="11">
        <v>2023</v>
      </c>
      <c r="E43" s="11">
        <v>2022</v>
      </c>
      <c r="F43" s="11">
        <v>2021</v>
      </c>
      <c r="G43" s="12">
        <v>2020</v>
      </c>
      <c r="H43" s="57">
        <v>2023</v>
      </c>
      <c r="I43" s="57">
        <v>2022</v>
      </c>
      <c r="J43" s="57">
        <v>2021</v>
      </c>
      <c r="K43" s="57">
        <v>2020</v>
      </c>
      <c r="L43" s="52"/>
      <c r="M43" s="29"/>
      <c r="N43" s="29"/>
      <c r="O43" s="29"/>
      <c r="P43" s="29"/>
    </row>
    <row r="44" spans="1:16" ht="27.75" customHeight="1">
      <c r="A44" s="227" t="s">
        <v>11</v>
      </c>
      <c r="B44" s="195" t="s">
        <v>34</v>
      </c>
      <c r="C44" s="196"/>
      <c r="D44" s="58">
        <v>71.83</v>
      </c>
      <c r="E44" s="58">
        <v>74.7</v>
      </c>
      <c r="F44" s="58">
        <v>73.430000000000007</v>
      </c>
      <c r="G44" s="58">
        <v>75.319999999999993</v>
      </c>
      <c r="H44" s="59">
        <v>71.099999999999994</v>
      </c>
      <c r="I44" s="60">
        <v>71.5</v>
      </c>
      <c r="J44" s="60">
        <v>71.7</v>
      </c>
      <c r="K44" s="47">
        <v>71.7</v>
      </c>
      <c r="L44" s="29"/>
    </row>
    <row r="45" spans="1:16" ht="27.75" customHeight="1">
      <c r="A45" s="211"/>
      <c r="B45" s="195" t="s">
        <v>35</v>
      </c>
      <c r="C45" s="196"/>
      <c r="D45" s="61">
        <v>7.74</v>
      </c>
      <c r="E45" s="62">
        <v>7.6</v>
      </c>
      <c r="F45" s="62">
        <v>7.33</v>
      </c>
      <c r="G45" s="62">
        <v>7.19</v>
      </c>
      <c r="H45" s="63">
        <v>10.3</v>
      </c>
      <c r="I45" s="64">
        <v>10.199999999999999</v>
      </c>
      <c r="J45" s="64">
        <v>10.3</v>
      </c>
      <c r="K45" s="65">
        <v>10.4</v>
      </c>
    </row>
    <row r="46" spans="1:16" ht="41.25" customHeight="1">
      <c r="A46" s="211"/>
      <c r="B46" s="195" t="s">
        <v>36</v>
      </c>
      <c r="C46" s="196"/>
      <c r="D46" s="62">
        <v>11.4</v>
      </c>
      <c r="E46" s="62">
        <v>10.5</v>
      </c>
      <c r="F46" s="62">
        <v>11.09</v>
      </c>
      <c r="G46" s="62">
        <v>9.86</v>
      </c>
      <c r="H46" s="63">
        <v>10.6</v>
      </c>
      <c r="I46" s="64">
        <v>10.5</v>
      </c>
      <c r="J46" s="64">
        <v>10.199999999999999</v>
      </c>
      <c r="K46" s="65">
        <v>10.199999999999999</v>
      </c>
    </row>
    <row r="47" spans="1:16" ht="43.5" customHeight="1">
      <c r="A47" s="211"/>
      <c r="B47" s="195" t="s">
        <v>37</v>
      </c>
      <c r="C47" s="196"/>
      <c r="D47" s="61">
        <v>6.31</v>
      </c>
      <c r="E47" s="62">
        <v>5.4</v>
      </c>
      <c r="F47" s="62">
        <v>6.45</v>
      </c>
      <c r="G47" s="62">
        <v>6.12</v>
      </c>
      <c r="H47" s="63">
        <v>5.6</v>
      </c>
      <c r="I47" s="64">
        <v>5.6</v>
      </c>
      <c r="J47" s="64">
        <v>5.8</v>
      </c>
      <c r="K47" s="65">
        <v>5.7</v>
      </c>
    </row>
    <row r="48" spans="1:16" ht="45" customHeight="1">
      <c r="A48" s="212"/>
      <c r="B48" s="195" t="s">
        <v>38</v>
      </c>
      <c r="C48" s="196"/>
      <c r="D48" s="61">
        <v>2.15</v>
      </c>
      <c r="E48" s="66">
        <v>1</v>
      </c>
      <c r="F48" s="66">
        <v>1.32</v>
      </c>
      <c r="G48" s="66">
        <v>1.51</v>
      </c>
      <c r="H48" s="67">
        <v>1.9</v>
      </c>
      <c r="I48" s="68">
        <v>1.7</v>
      </c>
      <c r="J48" s="68">
        <v>1.6</v>
      </c>
      <c r="K48" s="69">
        <v>1.7</v>
      </c>
    </row>
    <row r="49" spans="1:14" ht="33" customHeight="1">
      <c r="A49" s="227" t="s">
        <v>12</v>
      </c>
      <c r="B49" s="195" t="s">
        <v>34</v>
      </c>
      <c r="C49" s="196"/>
      <c r="D49" s="70">
        <v>75.58</v>
      </c>
      <c r="E49" s="62">
        <v>78.2</v>
      </c>
      <c r="F49" s="62">
        <v>77.94</v>
      </c>
      <c r="G49" s="62">
        <v>74.16</v>
      </c>
      <c r="H49" s="63">
        <v>74.5</v>
      </c>
      <c r="I49" s="64">
        <v>75.400000000000006</v>
      </c>
      <c r="J49" s="64">
        <v>76.3</v>
      </c>
      <c r="K49" s="65">
        <v>76.099999999999994</v>
      </c>
    </row>
    <row r="50" spans="1:14" ht="32.25" customHeight="1">
      <c r="A50" s="211"/>
      <c r="B50" s="195" t="s">
        <v>35</v>
      </c>
      <c r="C50" s="196"/>
      <c r="D50" s="61">
        <v>7.19</v>
      </c>
      <c r="E50" s="62">
        <v>5.8</v>
      </c>
      <c r="F50" s="62">
        <v>5.57</v>
      </c>
      <c r="G50" s="62">
        <v>6.38</v>
      </c>
      <c r="H50" s="63">
        <v>7.4</v>
      </c>
      <c r="I50" s="64">
        <v>7.1</v>
      </c>
      <c r="J50" s="64">
        <v>6.9</v>
      </c>
      <c r="K50" s="65">
        <v>6.7</v>
      </c>
    </row>
    <row r="51" spans="1:14" ht="45" customHeight="1">
      <c r="A51" s="211"/>
      <c r="B51" s="195" t="s">
        <v>36</v>
      </c>
      <c r="C51" s="196"/>
      <c r="D51" s="61">
        <v>9.02</v>
      </c>
      <c r="E51" s="62">
        <v>6.7</v>
      </c>
      <c r="F51" s="62">
        <v>8.66</v>
      </c>
      <c r="G51" s="62">
        <v>8.7899999999999991</v>
      </c>
      <c r="H51" s="63">
        <v>9</v>
      </c>
      <c r="I51" s="64">
        <v>8.6</v>
      </c>
      <c r="J51" s="64">
        <v>8.4</v>
      </c>
      <c r="K51" s="65">
        <v>8.9</v>
      </c>
    </row>
    <row r="52" spans="1:14" ht="45" customHeight="1">
      <c r="A52" s="211"/>
      <c r="B52" s="195" t="s">
        <v>37</v>
      </c>
      <c r="C52" s="196"/>
      <c r="D52" s="61">
        <v>5.27</v>
      </c>
      <c r="E52" s="62">
        <v>5.2</v>
      </c>
      <c r="F52" s="62">
        <v>5.36</v>
      </c>
      <c r="G52" s="62">
        <v>6.69</v>
      </c>
      <c r="H52" s="63">
        <v>5.2</v>
      </c>
      <c r="I52" s="64">
        <v>5.0999999999999996</v>
      </c>
      <c r="J52" s="64">
        <v>5</v>
      </c>
      <c r="K52" s="65">
        <v>5</v>
      </c>
    </row>
    <row r="53" spans="1:14" ht="45" customHeight="1">
      <c r="A53" s="212"/>
      <c r="B53" s="195" t="s">
        <v>38</v>
      </c>
      <c r="C53" s="196"/>
      <c r="D53" s="71">
        <v>2.63</v>
      </c>
      <c r="E53" s="66">
        <v>3.5</v>
      </c>
      <c r="F53" s="66">
        <v>2.16</v>
      </c>
      <c r="G53" s="66">
        <v>3.97</v>
      </c>
      <c r="H53" s="67">
        <v>3.4</v>
      </c>
      <c r="I53" s="68">
        <v>3.3</v>
      </c>
      <c r="J53" s="68">
        <v>2.9</v>
      </c>
      <c r="K53" s="69">
        <v>3.1</v>
      </c>
    </row>
    <row r="54" spans="1:14" ht="35.25" customHeight="1">
      <c r="A54" s="226" t="s">
        <v>28</v>
      </c>
      <c r="B54" s="197" t="s">
        <v>33</v>
      </c>
      <c r="C54" s="198"/>
      <c r="D54" s="201" t="s">
        <v>9</v>
      </c>
      <c r="E54" s="202"/>
      <c r="F54" s="202"/>
      <c r="G54" s="196"/>
      <c r="H54" s="201" t="s">
        <v>10</v>
      </c>
      <c r="I54" s="202"/>
      <c r="J54" s="202"/>
      <c r="K54" s="196"/>
    </row>
    <row r="55" spans="1:14" ht="33.75" customHeight="1">
      <c r="A55" s="212"/>
      <c r="B55" s="199"/>
      <c r="C55" s="200"/>
      <c r="D55" s="10">
        <v>2023</v>
      </c>
      <c r="E55" s="11">
        <v>2022</v>
      </c>
      <c r="F55" s="11">
        <v>2021</v>
      </c>
      <c r="G55" s="12">
        <v>2020</v>
      </c>
      <c r="H55" s="10">
        <v>2023</v>
      </c>
      <c r="I55" s="11">
        <v>2022</v>
      </c>
      <c r="J55" s="11">
        <v>2021</v>
      </c>
      <c r="K55" s="12">
        <v>2020</v>
      </c>
      <c r="L55" s="52"/>
    </row>
    <row r="56" spans="1:14" ht="30" customHeight="1">
      <c r="A56" s="227" t="s">
        <v>13</v>
      </c>
      <c r="B56" s="195" t="s">
        <v>34</v>
      </c>
      <c r="C56" s="196"/>
      <c r="D56" s="61">
        <v>58.68</v>
      </c>
      <c r="E56" s="58">
        <v>59.7</v>
      </c>
      <c r="F56" s="58">
        <v>66.31</v>
      </c>
      <c r="G56" s="72">
        <v>65.37</v>
      </c>
      <c r="H56" s="59">
        <v>69.400000000000006</v>
      </c>
      <c r="I56" s="60">
        <v>69.8</v>
      </c>
      <c r="J56" s="60">
        <v>69.7</v>
      </c>
      <c r="K56" s="47">
        <v>69.8</v>
      </c>
    </row>
    <row r="57" spans="1:14" ht="27.75" customHeight="1">
      <c r="A57" s="211"/>
      <c r="B57" s="195" t="s">
        <v>35</v>
      </c>
      <c r="C57" s="196"/>
      <c r="D57" s="61">
        <v>4.4000000000000004</v>
      </c>
      <c r="E57" s="62">
        <v>8.5</v>
      </c>
      <c r="F57" s="62">
        <v>5.18</v>
      </c>
      <c r="G57" s="73">
        <v>6.49</v>
      </c>
      <c r="H57" s="63">
        <v>6.4</v>
      </c>
      <c r="I57" s="64">
        <v>6.4</v>
      </c>
      <c r="J57" s="64">
        <v>6.7</v>
      </c>
      <c r="K57" s="65">
        <v>7</v>
      </c>
    </row>
    <row r="58" spans="1:14" ht="45" customHeight="1">
      <c r="A58" s="211"/>
      <c r="B58" s="195" t="s">
        <v>36</v>
      </c>
      <c r="C58" s="196"/>
      <c r="D58" s="61">
        <v>29.83</v>
      </c>
      <c r="E58" s="62">
        <v>24.5</v>
      </c>
      <c r="F58" s="62">
        <v>19.87</v>
      </c>
      <c r="G58" s="73">
        <v>20.56</v>
      </c>
      <c r="H58" s="63">
        <v>17.600000000000001</v>
      </c>
      <c r="I58" s="64">
        <v>17.5</v>
      </c>
      <c r="J58" s="64">
        <v>17.2</v>
      </c>
      <c r="K58" s="65">
        <v>16.5</v>
      </c>
    </row>
    <row r="59" spans="1:14" ht="46.5" customHeight="1">
      <c r="A59" s="211"/>
      <c r="B59" s="195" t="s">
        <v>37</v>
      </c>
      <c r="C59" s="196"/>
      <c r="D59" s="61">
        <v>5.62</v>
      </c>
      <c r="E59" s="62">
        <v>4.5</v>
      </c>
      <c r="F59" s="62">
        <v>6.26</v>
      </c>
      <c r="G59" s="73">
        <v>6.28</v>
      </c>
      <c r="H59" s="63">
        <v>4.5</v>
      </c>
      <c r="I59" s="64">
        <v>4.3</v>
      </c>
      <c r="J59" s="64">
        <v>4.5</v>
      </c>
      <c r="K59" s="65">
        <v>4.8</v>
      </c>
      <c r="N59" s="29"/>
    </row>
    <row r="60" spans="1:14" ht="42" customHeight="1">
      <c r="A60" s="212"/>
      <c r="B60" s="195" t="s">
        <v>38</v>
      </c>
      <c r="C60" s="196"/>
      <c r="D60" s="71">
        <v>0.98</v>
      </c>
      <c r="E60" s="66">
        <v>2.1</v>
      </c>
      <c r="F60" s="66">
        <v>1.94</v>
      </c>
      <c r="G60" s="73">
        <v>1.3</v>
      </c>
      <c r="H60" s="67">
        <v>1.6</v>
      </c>
      <c r="I60" s="68">
        <v>1.5</v>
      </c>
      <c r="J60" s="68">
        <v>1.6</v>
      </c>
      <c r="K60" s="69">
        <v>1.6</v>
      </c>
    </row>
    <row r="61" spans="1:14" ht="30" customHeight="1">
      <c r="A61" s="222" t="s">
        <v>26</v>
      </c>
      <c r="B61" s="195" t="s">
        <v>34</v>
      </c>
      <c r="C61" s="196"/>
      <c r="D61" s="62">
        <v>71.23</v>
      </c>
      <c r="E61" s="58">
        <v>73.7</v>
      </c>
      <c r="F61" s="62">
        <v>73.790000000000006</v>
      </c>
      <c r="G61" s="72">
        <v>73.290000000000006</v>
      </c>
      <c r="H61" s="59">
        <v>72.099999999999994</v>
      </c>
      <c r="I61" s="60">
        <v>72.599999999999994</v>
      </c>
      <c r="J61" s="60">
        <v>72.900000000000006</v>
      </c>
      <c r="K61" s="47">
        <v>72.8</v>
      </c>
    </row>
    <row r="62" spans="1:14" ht="33" customHeight="1">
      <c r="A62" s="211"/>
      <c r="B62" s="195" t="s">
        <v>35</v>
      </c>
      <c r="C62" s="196"/>
      <c r="D62" s="62">
        <v>7.06</v>
      </c>
      <c r="E62" s="62">
        <v>7.1</v>
      </c>
      <c r="F62" s="62">
        <v>6.44</v>
      </c>
      <c r="G62" s="73">
        <v>11.25</v>
      </c>
      <c r="H62" s="63">
        <v>8.9</v>
      </c>
      <c r="I62" s="64">
        <v>8.8000000000000007</v>
      </c>
      <c r="J62" s="64">
        <v>8.8000000000000007</v>
      </c>
      <c r="K62" s="65">
        <v>8.9</v>
      </c>
    </row>
    <row r="63" spans="1:14" ht="45" customHeight="1">
      <c r="A63" s="211"/>
      <c r="B63" s="195" t="s">
        <v>36</v>
      </c>
      <c r="C63" s="196"/>
      <c r="D63" s="62">
        <v>13.26</v>
      </c>
      <c r="E63" s="62">
        <v>11.2</v>
      </c>
      <c r="F63" s="62">
        <v>11.65</v>
      </c>
      <c r="G63" s="73">
        <v>6.37</v>
      </c>
      <c r="H63" s="63">
        <v>10.8</v>
      </c>
      <c r="I63" s="64">
        <v>10.7</v>
      </c>
      <c r="J63" s="64">
        <v>10.4</v>
      </c>
      <c r="K63" s="65">
        <v>10.6</v>
      </c>
    </row>
    <row r="64" spans="1:14" ht="47.25" customHeight="1">
      <c r="A64" s="211"/>
      <c r="B64" s="195" t="s">
        <v>37</v>
      </c>
      <c r="C64" s="196"/>
      <c r="D64" s="62">
        <v>5.84</v>
      </c>
      <c r="E64" s="62">
        <v>5.2</v>
      </c>
      <c r="F64" s="62">
        <v>6.07</v>
      </c>
      <c r="G64" s="73">
        <v>6.77</v>
      </c>
      <c r="H64" s="63">
        <v>5.4</v>
      </c>
      <c r="I64" s="64">
        <v>5.3</v>
      </c>
      <c r="J64" s="64">
        <v>5.4</v>
      </c>
      <c r="K64" s="65">
        <v>5.4</v>
      </c>
    </row>
    <row r="65" spans="1:26" ht="45" customHeight="1">
      <c r="A65" s="212"/>
      <c r="B65" s="195" t="s">
        <v>38</v>
      </c>
      <c r="C65" s="196"/>
      <c r="D65" s="62">
        <v>2.15</v>
      </c>
      <c r="E65" s="66">
        <v>2</v>
      </c>
      <c r="F65" s="66">
        <v>1.68</v>
      </c>
      <c r="G65" s="74">
        <v>2.31</v>
      </c>
      <c r="H65" s="67">
        <v>2.4</v>
      </c>
      <c r="I65" s="68">
        <v>2.2000000000000002</v>
      </c>
      <c r="J65" s="68">
        <v>2</v>
      </c>
      <c r="K65" s="69">
        <v>2.1</v>
      </c>
    </row>
    <row r="66" spans="1:26" ht="15" customHeight="1">
      <c r="A66" s="193" t="s">
        <v>15</v>
      </c>
      <c r="B66" s="194"/>
      <c r="C66" s="194"/>
      <c r="D66" s="194"/>
      <c r="E66" s="194"/>
      <c r="F66" s="194"/>
      <c r="G66" s="75"/>
      <c r="H66" s="76"/>
      <c r="I66" s="75"/>
    </row>
    <row r="67" spans="1:26" ht="15.75" customHeight="1">
      <c r="A67" s="77"/>
      <c r="B67" s="78"/>
      <c r="C67" s="78"/>
      <c r="D67" s="75"/>
      <c r="E67" s="75"/>
      <c r="F67" s="75"/>
      <c r="G67" s="75"/>
      <c r="H67" s="75"/>
      <c r="I67" s="75"/>
    </row>
    <row r="68" spans="1:26" ht="15.75" customHeight="1">
      <c r="A68" s="221" t="s">
        <v>39</v>
      </c>
      <c r="B68" s="209"/>
      <c r="C68" s="209"/>
      <c r="D68" s="209"/>
      <c r="E68" s="209"/>
      <c r="F68" s="209"/>
      <c r="G68" s="209"/>
      <c r="H68" s="209"/>
      <c r="I68" s="209"/>
      <c r="J68" s="209"/>
      <c r="K68" s="209"/>
    </row>
    <row r="69" spans="1:26" ht="15.75" customHeight="1">
      <c r="A69" s="79"/>
      <c r="B69" s="217" t="s">
        <v>40</v>
      </c>
      <c r="C69" s="202"/>
      <c r="D69" s="202"/>
      <c r="E69" s="202"/>
      <c r="F69" s="202"/>
      <c r="G69" s="196"/>
      <c r="H69" s="217" t="s">
        <v>41</v>
      </c>
      <c r="I69" s="202"/>
      <c r="J69" s="202"/>
      <c r="K69" s="202"/>
      <c r="L69" s="202"/>
      <c r="M69" s="196"/>
      <c r="N69" s="217" t="s">
        <v>42</v>
      </c>
      <c r="O69" s="202"/>
      <c r="P69" s="202"/>
      <c r="Q69" s="202"/>
      <c r="R69" s="202"/>
      <c r="S69" s="196"/>
      <c r="T69" s="217" t="s">
        <v>43</v>
      </c>
      <c r="U69" s="202"/>
      <c r="V69" s="202"/>
      <c r="W69" s="202"/>
      <c r="X69" s="202"/>
      <c r="Y69" s="196"/>
    </row>
    <row r="70" spans="1:26" ht="126" customHeight="1">
      <c r="A70" s="223"/>
      <c r="B70" s="206" t="s">
        <v>44</v>
      </c>
      <c r="C70" s="194"/>
      <c r="D70" s="206" t="s">
        <v>45</v>
      </c>
      <c r="E70" s="194"/>
      <c r="F70" s="206" t="s">
        <v>46</v>
      </c>
      <c r="G70" s="198"/>
      <c r="H70" s="206" t="s">
        <v>44</v>
      </c>
      <c r="I70" s="194"/>
      <c r="J70" s="206" t="s">
        <v>45</v>
      </c>
      <c r="K70" s="194"/>
      <c r="L70" s="206" t="s">
        <v>46</v>
      </c>
      <c r="M70" s="198"/>
      <c r="N70" s="206" t="s">
        <v>44</v>
      </c>
      <c r="O70" s="194"/>
      <c r="P70" s="206" t="s">
        <v>45</v>
      </c>
      <c r="Q70" s="194"/>
      <c r="R70" s="220" t="s">
        <v>46</v>
      </c>
      <c r="S70" s="196"/>
      <c r="T70" s="219" t="s">
        <v>44</v>
      </c>
      <c r="U70" s="202"/>
      <c r="V70" s="220" t="s">
        <v>45</v>
      </c>
      <c r="W70" s="202"/>
      <c r="X70" s="220" t="s">
        <v>46</v>
      </c>
      <c r="Y70" s="196"/>
    </row>
    <row r="71" spans="1:26" ht="15.75" customHeight="1">
      <c r="A71" s="212"/>
      <c r="B71" s="81" t="s">
        <v>9</v>
      </c>
      <c r="C71" s="82" t="s">
        <v>10</v>
      </c>
      <c r="D71" s="82" t="s">
        <v>9</v>
      </c>
      <c r="E71" s="82" t="s">
        <v>10</v>
      </c>
      <c r="F71" s="80" t="s">
        <v>9</v>
      </c>
      <c r="G71" s="83" t="s">
        <v>10</v>
      </c>
      <c r="H71" s="81" t="s">
        <v>9</v>
      </c>
      <c r="I71" s="82" t="s">
        <v>10</v>
      </c>
      <c r="J71" s="82" t="s">
        <v>9</v>
      </c>
      <c r="K71" s="82" t="s">
        <v>10</v>
      </c>
      <c r="L71" s="80" t="s">
        <v>9</v>
      </c>
      <c r="M71" s="83" t="s">
        <v>10</v>
      </c>
      <c r="N71" s="81" t="s">
        <v>9</v>
      </c>
      <c r="O71" s="82" t="s">
        <v>10</v>
      </c>
      <c r="P71" s="82" t="s">
        <v>9</v>
      </c>
      <c r="Q71" s="82" t="s">
        <v>10</v>
      </c>
      <c r="R71" s="80" t="s">
        <v>9</v>
      </c>
      <c r="S71" s="83" t="s">
        <v>10</v>
      </c>
      <c r="T71" s="81" t="s">
        <v>9</v>
      </c>
      <c r="U71" s="82" t="s">
        <v>10</v>
      </c>
      <c r="V71" s="82" t="s">
        <v>9</v>
      </c>
      <c r="W71" s="82" t="s">
        <v>10</v>
      </c>
      <c r="X71" s="80" t="s">
        <v>9</v>
      </c>
      <c r="Y71" s="83" t="s">
        <v>10</v>
      </c>
    </row>
    <row r="72" spans="1:26" ht="15.75" customHeight="1">
      <c r="A72" s="13" t="s">
        <v>11</v>
      </c>
      <c r="B72" s="58">
        <v>8.3800000000000008</v>
      </c>
      <c r="C72" s="60">
        <v>8</v>
      </c>
      <c r="D72" s="58">
        <v>7.03</v>
      </c>
      <c r="E72" s="64">
        <v>6.7</v>
      </c>
      <c r="F72" s="58">
        <v>92.23</v>
      </c>
      <c r="G72" s="47">
        <v>92</v>
      </c>
      <c r="H72" s="58">
        <v>6.6</v>
      </c>
      <c r="I72" s="60">
        <v>6.6</v>
      </c>
      <c r="J72" s="58">
        <v>5.9</v>
      </c>
      <c r="K72" s="64">
        <v>5.4</v>
      </c>
      <c r="L72" s="58">
        <v>91.7</v>
      </c>
      <c r="M72" s="47">
        <v>90.5</v>
      </c>
      <c r="N72" s="58">
        <v>7.08</v>
      </c>
      <c r="O72" s="60">
        <v>6.8</v>
      </c>
      <c r="P72" s="58">
        <v>5.2</v>
      </c>
      <c r="Q72" s="64">
        <v>5.3</v>
      </c>
      <c r="R72" s="58">
        <v>95.05</v>
      </c>
      <c r="S72" s="47">
        <v>91.1</v>
      </c>
      <c r="T72" s="58">
        <v>10.74</v>
      </c>
      <c r="U72" s="64">
        <v>9.4</v>
      </c>
      <c r="V72" s="62">
        <v>7.95</v>
      </c>
      <c r="W72" s="64">
        <v>7.2</v>
      </c>
      <c r="X72" s="62">
        <v>96.35</v>
      </c>
      <c r="Y72" s="65">
        <v>91</v>
      </c>
    </row>
    <row r="73" spans="1:26" ht="15.75" customHeight="1">
      <c r="A73" s="48" t="s">
        <v>12</v>
      </c>
      <c r="B73" s="61">
        <v>13.48</v>
      </c>
      <c r="C73" s="64">
        <v>13.2</v>
      </c>
      <c r="D73" s="62">
        <v>10.130000000000001</v>
      </c>
      <c r="E73" s="64">
        <v>9.1999999999999993</v>
      </c>
      <c r="F73" s="62">
        <v>84.8</v>
      </c>
      <c r="G73" s="65">
        <v>73.2</v>
      </c>
      <c r="H73" s="61">
        <v>13.3</v>
      </c>
      <c r="I73" s="64">
        <v>11.3</v>
      </c>
      <c r="J73" s="62">
        <v>9.9</v>
      </c>
      <c r="K73" s="64">
        <v>7.7</v>
      </c>
      <c r="L73" s="62">
        <v>83.6</v>
      </c>
      <c r="M73" s="65">
        <v>74.2</v>
      </c>
      <c r="N73" s="61">
        <v>16.600000000000001</v>
      </c>
      <c r="O73" s="64">
        <v>12</v>
      </c>
      <c r="P73" s="62">
        <v>12.58</v>
      </c>
      <c r="Q73" s="64">
        <v>8.5</v>
      </c>
      <c r="R73" s="62">
        <v>83.6</v>
      </c>
      <c r="S73" s="65">
        <v>78.8</v>
      </c>
      <c r="T73" s="62">
        <v>19.73</v>
      </c>
      <c r="U73" s="64">
        <v>16.399999999999999</v>
      </c>
      <c r="V73" s="62">
        <v>15.88</v>
      </c>
      <c r="W73" s="64">
        <v>10.7</v>
      </c>
      <c r="X73" s="62">
        <v>90.45</v>
      </c>
      <c r="Y73" s="65">
        <v>74.5</v>
      </c>
    </row>
    <row r="74" spans="1:26" ht="15.75" customHeight="1">
      <c r="A74" s="48" t="s">
        <v>13</v>
      </c>
      <c r="B74" s="71">
        <v>12.78</v>
      </c>
      <c r="C74" s="68">
        <v>14.8</v>
      </c>
      <c r="D74" s="66">
        <v>11.74</v>
      </c>
      <c r="E74" s="68">
        <v>12.1</v>
      </c>
      <c r="F74" s="66">
        <v>86</v>
      </c>
      <c r="G74" s="65">
        <v>83.5</v>
      </c>
      <c r="H74" s="71">
        <v>11.5</v>
      </c>
      <c r="I74" s="68">
        <v>14.2</v>
      </c>
      <c r="J74" s="66">
        <v>8.6</v>
      </c>
      <c r="K74" s="68">
        <v>11.4</v>
      </c>
      <c r="L74" s="66">
        <v>85</v>
      </c>
      <c r="M74" s="65">
        <v>85</v>
      </c>
      <c r="N74" s="71">
        <v>10.37</v>
      </c>
      <c r="O74" s="68">
        <v>15.3</v>
      </c>
      <c r="P74" s="66">
        <v>8.64</v>
      </c>
      <c r="Q74" s="68">
        <v>12.5</v>
      </c>
      <c r="R74" s="66">
        <v>83.72</v>
      </c>
      <c r="S74" s="65">
        <v>85.7</v>
      </c>
      <c r="T74" s="66">
        <v>12.77</v>
      </c>
      <c r="U74" s="68">
        <v>17.8</v>
      </c>
      <c r="V74" s="66">
        <v>10.15</v>
      </c>
      <c r="W74" s="68">
        <v>14</v>
      </c>
      <c r="X74" s="62">
        <v>76.36</v>
      </c>
      <c r="Y74" s="65">
        <v>82.2</v>
      </c>
    </row>
    <row r="75" spans="1:26" ht="45" customHeight="1">
      <c r="A75" s="9" t="s">
        <v>26</v>
      </c>
      <c r="B75" s="84">
        <v>10.83</v>
      </c>
      <c r="C75" s="85">
        <v>10.5</v>
      </c>
      <c r="D75" s="86">
        <v>8.81</v>
      </c>
      <c r="E75" s="85">
        <v>8.1</v>
      </c>
      <c r="F75" s="86">
        <v>87.77</v>
      </c>
      <c r="G75" s="50">
        <v>82.5</v>
      </c>
      <c r="H75" s="87">
        <v>9.5</v>
      </c>
      <c r="I75" s="88">
        <v>9</v>
      </c>
      <c r="J75" s="51">
        <v>7.2</v>
      </c>
      <c r="K75" s="88">
        <v>6.9</v>
      </c>
      <c r="L75" s="51">
        <v>86.8</v>
      </c>
      <c r="M75" s="50">
        <v>82.6</v>
      </c>
      <c r="N75" s="87">
        <v>10.63</v>
      </c>
      <c r="O75" s="88">
        <v>9.5</v>
      </c>
      <c r="P75" s="51">
        <v>8.09</v>
      </c>
      <c r="Q75" s="88">
        <v>7.1</v>
      </c>
      <c r="R75" s="51">
        <v>87.63</v>
      </c>
      <c r="S75" s="50">
        <v>84.8</v>
      </c>
      <c r="T75" s="89">
        <v>14.12</v>
      </c>
      <c r="U75" s="88">
        <v>12.5</v>
      </c>
      <c r="V75" s="89">
        <v>11</v>
      </c>
      <c r="W75" s="90">
        <v>9.1</v>
      </c>
      <c r="X75" s="89">
        <v>90.54</v>
      </c>
      <c r="Y75" s="50">
        <v>82.8</v>
      </c>
      <c r="Z75" s="52"/>
    </row>
    <row r="76" spans="1:26" ht="15" customHeight="1">
      <c r="A76" s="193" t="s">
        <v>15</v>
      </c>
      <c r="B76" s="194"/>
      <c r="C76" s="194"/>
      <c r="D76" s="194"/>
      <c r="E76" s="194"/>
      <c r="F76" s="194"/>
      <c r="G76" s="91"/>
      <c r="I76" s="29"/>
      <c r="O76" s="91"/>
      <c r="W76" s="91"/>
      <c r="Y76" s="91"/>
    </row>
    <row r="77" spans="1:26" ht="15.75" customHeight="1"/>
    <row r="78" spans="1:26" ht="15.75" customHeight="1"/>
    <row r="79" spans="1:26" ht="15.75" customHeight="1"/>
    <row r="80" spans="1:2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0">
    <mergeCell ref="N69:S69"/>
    <mergeCell ref="T69:Y69"/>
    <mergeCell ref="B56:C56"/>
    <mergeCell ref="B57:C57"/>
    <mergeCell ref="B58:C58"/>
    <mergeCell ref="B59:C59"/>
    <mergeCell ref="B60:C60"/>
    <mergeCell ref="B61:C61"/>
    <mergeCell ref="B62:C62"/>
    <mergeCell ref="R70:S70"/>
    <mergeCell ref="A61:A65"/>
    <mergeCell ref="A70:A71"/>
    <mergeCell ref="A24:A25"/>
    <mergeCell ref="A33:A34"/>
    <mergeCell ref="A42:A43"/>
    <mergeCell ref="A44:A48"/>
    <mergeCell ref="A49:A53"/>
    <mergeCell ref="A54:A55"/>
    <mergeCell ref="A56:A60"/>
    <mergeCell ref="A30:F30"/>
    <mergeCell ref="A32:K32"/>
    <mergeCell ref="B33:C33"/>
    <mergeCell ref="D33:E33"/>
    <mergeCell ref="F33:G33"/>
    <mergeCell ref="A39:F39"/>
    <mergeCell ref="T70:U70"/>
    <mergeCell ref="V70:W70"/>
    <mergeCell ref="X70:Y70"/>
    <mergeCell ref="B65:C65"/>
    <mergeCell ref="A66:F66"/>
    <mergeCell ref="A68:K68"/>
    <mergeCell ref="B69:G69"/>
    <mergeCell ref="H69:M69"/>
    <mergeCell ref="B70:C70"/>
    <mergeCell ref="D70:E70"/>
    <mergeCell ref="F70:G70"/>
    <mergeCell ref="H70:I70"/>
    <mergeCell ref="J70:K70"/>
    <mergeCell ref="L70:M70"/>
    <mergeCell ref="N70:O70"/>
    <mergeCell ref="P70:Q70"/>
    <mergeCell ref="B2:E2"/>
    <mergeCell ref="F2:I2"/>
    <mergeCell ref="A3:A5"/>
    <mergeCell ref="B3:C4"/>
    <mergeCell ref="D3:E4"/>
    <mergeCell ref="F3:G4"/>
    <mergeCell ref="H3:I4"/>
    <mergeCell ref="A10:F10"/>
    <mergeCell ref="A11:G11"/>
    <mergeCell ref="A13:F13"/>
    <mergeCell ref="A14:A16"/>
    <mergeCell ref="B14:C15"/>
    <mergeCell ref="D14:E15"/>
    <mergeCell ref="F14:G15"/>
    <mergeCell ref="B51:C51"/>
    <mergeCell ref="B52:C52"/>
    <mergeCell ref="A21:F21"/>
    <mergeCell ref="A23:G23"/>
    <mergeCell ref="B24:C24"/>
    <mergeCell ref="D24:E24"/>
    <mergeCell ref="F24:G24"/>
    <mergeCell ref="A41:I41"/>
    <mergeCell ref="B48:C48"/>
    <mergeCell ref="B49:C49"/>
    <mergeCell ref="D42:F42"/>
    <mergeCell ref="H42:K42"/>
    <mergeCell ref="B50:C50"/>
    <mergeCell ref="B42:C43"/>
    <mergeCell ref="B44:C44"/>
    <mergeCell ref="B45:C45"/>
    <mergeCell ref="B46:C46"/>
    <mergeCell ref="B47:C47"/>
    <mergeCell ref="A76:F76"/>
    <mergeCell ref="B53:C53"/>
    <mergeCell ref="B54:C55"/>
    <mergeCell ref="D54:G54"/>
    <mergeCell ref="H54:K54"/>
    <mergeCell ref="B63:C63"/>
    <mergeCell ref="B64:C64"/>
  </mergeCells>
  <pageMargins left="0.7" right="0.7" top="0.75" bottom="0.75" header="0" footer="0"/>
  <pageSetup paperSize="9" scale="52" fitToHeight="0" orientation="landscape" r:id="rId1"/>
  <rowBreaks count="2" manualBreakCount="2">
    <brk id="31" max="16383" man="1"/>
    <brk id="5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view="pageBreakPreview" zoomScale="60" zoomScaleNormal="100" workbookViewId="0">
      <selection sqref="A1:G1"/>
    </sheetView>
  </sheetViews>
  <sheetFormatPr defaultColWidth="14.42578125" defaultRowHeight="15" customHeight="1"/>
  <cols>
    <col min="1" max="1" width="39.5703125" customWidth="1"/>
    <col min="2" max="13" width="18.28515625" customWidth="1"/>
    <col min="14" max="14" width="15.5703125" customWidth="1"/>
    <col min="15" max="26" width="9.140625" customWidth="1"/>
  </cols>
  <sheetData>
    <row r="1" spans="1:26">
      <c r="A1" s="221" t="s">
        <v>47</v>
      </c>
      <c r="B1" s="209"/>
      <c r="C1" s="209"/>
      <c r="D1" s="209"/>
      <c r="E1" s="209"/>
      <c r="F1" s="209"/>
      <c r="G1" s="20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>
      <c r="A2" s="29"/>
      <c r="B2" s="216" t="s">
        <v>40</v>
      </c>
      <c r="C2" s="202"/>
      <c r="D2" s="202"/>
      <c r="E2" s="202"/>
      <c r="F2" s="196"/>
      <c r="G2" s="216" t="s">
        <v>41</v>
      </c>
      <c r="H2" s="202"/>
      <c r="I2" s="202"/>
      <c r="J2" s="196"/>
      <c r="K2" s="216" t="s">
        <v>42</v>
      </c>
      <c r="L2" s="202"/>
      <c r="M2" s="202"/>
      <c r="N2" s="196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spans="1:26" ht="90">
      <c r="A3" s="92" t="s">
        <v>48</v>
      </c>
      <c r="B3" s="93" t="s">
        <v>49</v>
      </c>
      <c r="C3" s="93" t="s">
        <v>50</v>
      </c>
      <c r="D3" s="93" t="s">
        <v>30</v>
      </c>
      <c r="E3" s="93" t="s">
        <v>31</v>
      </c>
      <c r="F3" s="94" t="s">
        <v>51</v>
      </c>
      <c r="G3" s="93" t="s">
        <v>50</v>
      </c>
      <c r="H3" s="93" t="s">
        <v>30</v>
      </c>
      <c r="I3" s="93" t="s">
        <v>31</v>
      </c>
      <c r="J3" s="94" t="s">
        <v>51</v>
      </c>
      <c r="K3" s="93" t="s">
        <v>50</v>
      </c>
      <c r="L3" s="93" t="s">
        <v>30</v>
      </c>
      <c r="M3" s="93" t="s">
        <v>31</v>
      </c>
      <c r="N3" s="94" t="s">
        <v>51</v>
      </c>
      <c r="O3" s="95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>
      <c r="A4" s="96" t="s">
        <v>52</v>
      </c>
      <c r="B4" s="97">
        <v>86</v>
      </c>
      <c r="C4" s="62">
        <v>91.46</v>
      </c>
      <c r="D4" s="62">
        <v>91.46</v>
      </c>
      <c r="E4" s="58">
        <v>91.46</v>
      </c>
      <c r="F4" s="72">
        <v>64.47</v>
      </c>
      <c r="G4" s="62">
        <f>55.6+30.6</f>
        <v>86.2</v>
      </c>
      <c r="H4" s="62">
        <f>31.9+55.6</f>
        <v>87.5</v>
      </c>
      <c r="I4" s="58">
        <f>54.2+38.9</f>
        <v>93.1</v>
      </c>
      <c r="J4" s="98">
        <f>26.4+61.1</f>
        <v>87.5</v>
      </c>
      <c r="K4" s="62">
        <v>90.91</v>
      </c>
      <c r="L4" s="62">
        <v>89.39</v>
      </c>
      <c r="M4" s="58">
        <v>92.42</v>
      </c>
      <c r="N4" s="73">
        <f>29.2+46.2</f>
        <v>75.400000000000006</v>
      </c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>
      <c r="A5" s="96" t="s">
        <v>53</v>
      </c>
      <c r="B5" s="96">
        <v>166</v>
      </c>
      <c r="C5" s="62">
        <v>93.87</v>
      </c>
      <c r="D5" s="62">
        <v>94.48</v>
      </c>
      <c r="E5" s="62">
        <v>81.599999999999994</v>
      </c>
      <c r="F5" s="73">
        <v>69.23</v>
      </c>
      <c r="G5" s="62">
        <f>43.5+46.9</f>
        <v>90.4</v>
      </c>
      <c r="H5" s="62">
        <f>21.8+68.7</f>
        <v>90.5</v>
      </c>
      <c r="I5" s="62">
        <f>38.1+42.9</f>
        <v>81</v>
      </c>
      <c r="J5" s="99">
        <f>17.8+49.3</f>
        <v>67.099999999999994</v>
      </c>
      <c r="K5" s="62">
        <v>87.36</v>
      </c>
      <c r="L5" s="62">
        <v>86.26</v>
      </c>
      <c r="M5" s="62">
        <v>79.67</v>
      </c>
      <c r="N5" s="73">
        <f>24.3+43.1</f>
        <v>67.400000000000006</v>
      </c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>
      <c r="A6" s="96" t="s">
        <v>54</v>
      </c>
      <c r="B6" s="96">
        <v>159</v>
      </c>
      <c r="C6" s="62">
        <v>91.39</v>
      </c>
      <c r="D6" s="62">
        <v>88.08</v>
      </c>
      <c r="E6" s="62">
        <v>94.04</v>
      </c>
      <c r="F6" s="73">
        <v>71.13</v>
      </c>
      <c r="G6" s="62">
        <f>53.8+37.9</f>
        <v>91.699999999999989</v>
      </c>
      <c r="H6" s="62">
        <f>23.5+61.4</f>
        <v>84.9</v>
      </c>
      <c r="I6" s="62">
        <f>51.5+37.9</f>
        <v>89.4</v>
      </c>
      <c r="J6" s="73">
        <f>19+49.2</f>
        <v>68.2</v>
      </c>
      <c r="K6" s="62">
        <v>93.27</v>
      </c>
      <c r="L6" s="62">
        <v>90.13</v>
      </c>
      <c r="M6" s="62">
        <v>92.38</v>
      </c>
      <c r="N6" s="73">
        <f>20.3+51.2</f>
        <v>71.5</v>
      </c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30">
      <c r="A7" s="96" t="s">
        <v>55</v>
      </c>
      <c r="B7" s="96">
        <v>306</v>
      </c>
      <c r="C7" s="62">
        <v>91.36</v>
      </c>
      <c r="D7" s="62">
        <v>96.68</v>
      </c>
      <c r="E7" s="62">
        <v>91.03</v>
      </c>
      <c r="F7" s="73">
        <v>58.31</v>
      </c>
      <c r="G7" s="62">
        <f>53.4+40.2</f>
        <v>93.6</v>
      </c>
      <c r="H7" s="62">
        <f>36.1+58.6</f>
        <v>94.7</v>
      </c>
      <c r="I7" s="62">
        <f>51.4+39.4</f>
        <v>90.8</v>
      </c>
      <c r="J7" s="73">
        <f>21.4+47.3</f>
        <v>68.699999999999989</v>
      </c>
      <c r="K7" s="62">
        <v>92.21</v>
      </c>
      <c r="L7" s="62">
        <v>91.77</v>
      </c>
      <c r="M7" s="62">
        <v>91.77</v>
      </c>
      <c r="N7" s="73">
        <f>19.6+44.6</f>
        <v>64.2</v>
      </c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>
      <c r="A8" s="96" t="s">
        <v>56</v>
      </c>
      <c r="B8" s="96">
        <v>171</v>
      </c>
      <c r="C8" s="62">
        <v>92.55</v>
      </c>
      <c r="D8" s="62">
        <v>91.3</v>
      </c>
      <c r="E8" s="62">
        <v>95.03</v>
      </c>
      <c r="F8" s="73">
        <v>76.709999999999994</v>
      </c>
      <c r="G8" s="62">
        <f>69.1+25.7</f>
        <v>94.8</v>
      </c>
      <c r="H8" s="62">
        <f>46.7+44.7</f>
        <v>91.4</v>
      </c>
      <c r="I8" s="62">
        <f>57.9+32.2</f>
        <v>90.1</v>
      </c>
      <c r="J8" s="73">
        <f>38+42.3</f>
        <v>80.3</v>
      </c>
      <c r="K8" s="62">
        <v>91.53</v>
      </c>
      <c r="L8" s="62">
        <v>89.95</v>
      </c>
      <c r="M8" s="62">
        <v>89.95</v>
      </c>
      <c r="N8" s="73">
        <f>40.5+38.4</f>
        <v>78.900000000000006</v>
      </c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30">
      <c r="A9" s="96" t="s">
        <v>57</v>
      </c>
      <c r="B9" s="96">
        <v>154</v>
      </c>
      <c r="C9" s="62">
        <v>92.76</v>
      </c>
      <c r="D9" s="62">
        <v>91.45</v>
      </c>
      <c r="E9" s="62">
        <v>83.55</v>
      </c>
      <c r="F9" s="73">
        <v>76.55</v>
      </c>
      <c r="G9" s="62">
        <f>48.6+46.6</f>
        <v>95.2</v>
      </c>
      <c r="H9" s="62">
        <f>31.5+62.3</f>
        <v>93.8</v>
      </c>
      <c r="I9" s="62">
        <f>37.7+39</f>
        <v>76.7</v>
      </c>
      <c r="J9" s="73">
        <f>31.9+49.3</f>
        <v>81.199999999999989</v>
      </c>
      <c r="K9" s="62">
        <v>90.24</v>
      </c>
      <c r="L9" s="62">
        <v>92.07</v>
      </c>
      <c r="M9" s="62">
        <v>82.32</v>
      </c>
      <c r="N9" s="73">
        <f>24.4+51.3</f>
        <v>75.699999999999989</v>
      </c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>
      <c r="A10" s="96" t="s">
        <v>58</v>
      </c>
      <c r="B10" s="96">
        <v>137</v>
      </c>
      <c r="C10" s="62">
        <v>92.97</v>
      </c>
      <c r="D10" s="62">
        <v>96.88</v>
      </c>
      <c r="E10" s="62">
        <v>83.59</v>
      </c>
      <c r="F10" s="73">
        <v>68.849999999999994</v>
      </c>
      <c r="G10" s="62">
        <f>48.1+47.4</f>
        <v>95.5</v>
      </c>
      <c r="H10" s="62">
        <f>33.1+59.7</f>
        <v>92.800000000000011</v>
      </c>
      <c r="I10" s="62">
        <f>42.2+46.1</f>
        <v>88.300000000000011</v>
      </c>
      <c r="J10" s="73">
        <f>15.1+52</f>
        <v>67.099999999999994</v>
      </c>
      <c r="K10" s="62">
        <v>95.12</v>
      </c>
      <c r="L10" s="62">
        <v>90.24</v>
      </c>
      <c r="M10" s="62">
        <v>84.55</v>
      </c>
      <c r="N10" s="73">
        <f>24+38.8</f>
        <v>62.8</v>
      </c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>
      <c r="A11" s="96" t="s">
        <v>59</v>
      </c>
      <c r="B11" s="96">
        <v>89</v>
      </c>
      <c r="C11" s="62">
        <v>96.59</v>
      </c>
      <c r="D11" s="62">
        <v>92.05</v>
      </c>
      <c r="E11" s="62">
        <v>89.77</v>
      </c>
      <c r="F11" s="73">
        <v>77.91</v>
      </c>
      <c r="G11" s="62">
        <f>47+44</f>
        <v>91</v>
      </c>
      <c r="H11" s="62">
        <f>32+66</f>
        <v>98</v>
      </c>
      <c r="I11" s="62">
        <f>41+44</f>
        <v>85</v>
      </c>
      <c r="J11" s="73">
        <f>23.5+42.9</f>
        <v>66.400000000000006</v>
      </c>
      <c r="K11" s="62">
        <v>94.9</v>
      </c>
      <c r="L11" s="62">
        <v>96.94</v>
      </c>
      <c r="M11" s="62">
        <v>88.78</v>
      </c>
      <c r="N11" s="73">
        <f>28.6+44.9</f>
        <v>73.5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18.75" customHeight="1">
      <c r="A12" s="96" t="s">
        <v>60</v>
      </c>
      <c r="B12" s="96">
        <v>61</v>
      </c>
      <c r="C12" s="62">
        <v>96.43</v>
      </c>
      <c r="D12" s="62">
        <v>94.64</v>
      </c>
      <c r="E12" s="62">
        <v>80.36</v>
      </c>
      <c r="F12" s="73">
        <v>67.92</v>
      </c>
      <c r="G12" s="62">
        <f>69.4+28.6</f>
        <v>98</v>
      </c>
      <c r="H12" s="62">
        <f>65.3+30.6</f>
        <v>95.9</v>
      </c>
      <c r="I12" s="62">
        <f>67.3+30.6</f>
        <v>97.9</v>
      </c>
      <c r="J12" s="73">
        <f>26.7+44.4</f>
        <v>71.099999999999994</v>
      </c>
      <c r="K12" s="62">
        <v>95.38</v>
      </c>
      <c r="L12" s="62">
        <v>95.38</v>
      </c>
      <c r="M12" s="62">
        <v>87.69</v>
      </c>
      <c r="N12" s="73">
        <f>14.5+54.8</f>
        <v>69.3</v>
      </c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27.75" customHeight="1">
      <c r="A13" s="96" t="s">
        <v>61</v>
      </c>
      <c r="B13" s="96">
        <v>412</v>
      </c>
      <c r="C13" s="62">
        <v>80.05</v>
      </c>
      <c r="D13" s="62">
        <v>66.5</v>
      </c>
      <c r="E13" s="62">
        <v>51.92</v>
      </c>
      <c r="F13" s="73">
        <v>70.98</v>
      </c>
      <c r="G13" s="62">
        <f>26.1+59.1</f>
        <v>85.2</v>
      </c>
      <c r="H13" s="62">
        <f>16.5+56.9</f>
        <v>73.400000000000006</v>
      </c>
      <c r="I13" s="62">
        <f>23.9+35.3</f>
        <v>59.199999999999996</v>
      </c>
      <c r="J13" s="73">
        <f>36.3+44.6</f>
        <v>80.900000000000006</v>
      </c>
      <c r="K13" s="62">
        <v>84.62</v>
      </c>
      <c r="L13" s="62">
        <v>78.959999999999994</v>
      </c>
      <c r="M13" s="62">
        <v>65.16</v>
      </c>
      <c r="N13" s="73">
        <f>39.4+44</f>
        <v>83.4</v>
      </c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>
      <c r="A14" s="96" t="s">
        <v>62</v>
      </c>
      <c r="B14" s="96">
        <v>179</v>
      </c>
      <c r="C14" s="62">
        <v>92.73</v>
      </c>
      <c r="D14" s="62">
        <v>96.36</v>
      </c>
      <c r="E14" s="62">
        <v>95.76</v>
      </c>
      <c r="F14" s="73">
        <v>75.16</v>
      </c>
      <c r="G14" s="62">
        <f>58.8+35.8</f>
        <v>94.6</v>
      </c>
      <c r="H14" s="62">
        <f>54.7+41.2</f>
        <v>95.9</v>
      </c>
      <c r="I14" s="62">
        <f>62.2+34.5</f>
        <v>96.7</v>
      </c>
      <c r="J14" s="73">
        <f>32.9+42</f>
        <v>74.900000000000006</v>
      </c>
      <c r="K14" s="62">
        <v>97.65</v>
      </c>
      <c r="L14" s="62">
        <v>94.71</v>
      </c>
      <c r="M14" s="62">
        <v>93.53</v>
      </c>
      <c r="N14" s="73">
        <f>31.2+44.7</f>
        <v>75.900000000000006</v>
      </c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>
      <c r="A15" s="96" t="s">
        <v>63</v>
      </c>
      <c r="B15" s="96">
        <v>435</v>
      </c>
      <c r="C15" s="62">
        <v>91.73</v>
      </c>
      <c r="D15" s="62">
        <v>95.74</v>
      </c>
      <c r="E15" s="62">
        <v>93.14</v>
      </c>
      <c r="F15" s="73">
        <v>65.28</v>
      </c>
      <c r="G15" s="62">
        <f>55.1+39.5</f>
        <v>94.6</v>
      </c>
      <c r="H15" s="62">
        <f>39+55.9</f>
        <v>94.9</v>
      </c>
      <c r="I15" s="62">
        <f>56.1+35</f>
        <v>91.1</v>
      </c>
      <c r="J15" s="73">
        <f>25.6+38.6</f>
        <v>64.2</v>
      </c>
      <c r="K15" s="62">
        <v>93.11</v>
      </c>
      <c r="L15" s="62">
        <v>97.25</v>
      </c>
      <c r="M15" s="62">
        <v>93.39</v>
      </c>
      <c r="N15" s="73">
        <f>19.3+44.3</f>
        <v>63.599999999999994</v>
      </c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>
      <c r="A16" s="96" t="s">
        <v>64</v>
      </c>
      <c r="B16" s="96">
        <v>125</v>
      </c>
      <c r="C16" s="62">
        <v>88.62</v>
      </c>
      <c r="D16" s="62">
        <v>91.87</v>
      </c>
      <c r="E16" s="62">
        <v>91.06</v>
      </c>
      <c r="F16" s="73">
        <v>83.33</v>
      </c>
      <c r="G16" s="62">
        <f>68.9+26.4</f>
        <v>95.300000000000011</v>
      </c>
      <c r="H16" s="62">
        <f>58.1+38.5</f>
        <v>96.6</v>
      </c>
      <c r="I16" s="62">
        <f>63.5+32.4</f>
        <v>95.9</v>
      </c>
      <c r="J16" s="73">
        <f>37.9+40.7</f>
        <v>78.599999999999994</v>
      </c>
      <c r="K16" s="62">
        <v>95.68</v>
      </c>
      <c r="L16" s="62">
        <v>97.53</v>
      </c>
      <c r="M16" s="62">
        <v>94.44</v>
      </c>
      <c r="N16" s="73">
        <f>34.6+43.4</f>
        <v>78</v>
      </c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>
      <c r="A17" s="96" t="s">
        <v>65</v>
      </c>
      <c r="B17" s="96">
        <v>430</v>
      </c>
      <c r="C17" s="62">
        <v>92.38</v>
      </c>
      <c r="D17" s="62">
        <v>89.19</v>
      </c>
      <c r="E17" s="62">
        <v>92.87</v>
      </c>
      <c r="F17" s="73">
        <v>68.209999999999994</v>
      </c>
      <c r="G17" s="62">
        <f>46.1+46.4</f>
        <v>92.5</v>
      </c>
      <c r="H17" s="62">
        <f>26.3+62.9</f>
        <v>89.2</v>
      </c>
      <c r="I17" s="62">
        <f>48.5+41.5</f>
        <v>90</v>
      </c>
      <c r="J17" s="73">
        <f>25.9+43.9</f>
        <v>69.8</v>
      </c>
      <c r="K17" s="62">
        <v>92.13</v>
      </c>
      <c r="L17" s="62">
        <v>89.44</v>
      </c>
      <c r="M17" s="66">
        <v>90.34</v>
      </c>
      <c r="N17" s="73">
        <f>24+47.6</f>
        <v>71.599999999999994</v>
      </c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>
      <c r="A18" s="100" t="s">
        <v>66</v>
      </c>
      <c r="B18" s="101">
        <f>SUM(B4:B17)</f>
        <v>2910</v>
      </c>
      <c r="C18" s="102">
        <v>90.58</v>
      </c>
      <c r="D18" s="103">
        <v>89.47</v>
      </c>
      <c r="E18" s="104">
        <v>85.27</v>
      </c>
      <c r="F18" s="105">
        <f>24.2+45.3</f>
        <v>69.5</v>
      </c>
      <c r="G18" s="104">
        <f>49.7+42.6</f>
        <v>92.300000000000011</v>
      </c>
      <c r="H18" s="103">
        <f>33.5+56.3</f>
        <v>89.8</v>
      </c>
      <c r="I18" s="104">
        <f>47.3+37.8</f>
        <v>85.1</v>
      </c>
      <c r="J18" s="106">
        <f>27.6+44.9</f>
        <v>72.5</v>
      </c>
      <c r="K18" s="51">
        <v>91.68</v>
      </c>
      <c r="L18" s="51">
        <v>90.46</v>
      </c>
      <c r="M18" s="51">
        <v>86.43</v>
      </c>
      <c r="N18" s="105">
        <f>27+45.5</f>
        <v>72.5</v>
      </c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>
      <c r="A19" s="107" t="s">
        <v>10</v>
      </c>
      <c r="B19" s="108">
        <v>295104</v>
      </c>
      <c r="C19" s="109">
        <f>42.6+47.9</f>
        <v>90.5</v>
      </c>
      <c r="D19" s="110">
        <f>27.5+61.2</f>
        <v>88.7</v>
      </c>
      <c r="E19" s="110">
        <f>42.4+41.7</f>
        <v>84.1</v>
      </c>
      <c r="F19" s="111">
        <f>20.3+45.3</f>
        <v>65.599999999999994</v>
      </c>
      <c r="G19" s="110">
        <f>42.8+47.7</f>
        <v>90.5</v>
      </c>
      <c r="H19" s="110">
        <f>27.8+61</f>
        <v>88.8</v>
      </c>
      <c r="I19" s="110">
        <f>41.8+41.8</f>
        <v>83.6</v>
      </c>
      <c r="J19" s="110">
        <f>19.3+44.9</f>
        <v>64.2</v>
      </c>
      <c r="K19" s="109">
        <v>90.5</v>
      </c>
      <c r="L19" s="110">
        <v>88.8</v>
      </c>
      <c r="M19" s="110">
        <v>84.4</v>
      </c>
      <c r="N19" s="110">
        <f>18.8+45.1</f>
        <v>63.900000000000006</v>
      </c>
      <c r="O19" s="52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>
      <c r="A20" s="235" t="s">
        <v>15</v>
      </c>
      <c r="B20" s="209"/>
      <c r="C20" s="209"/>
      <c r="D20" s="209"/>
      <c r="E20" s="209"/>
      <c r="F20" s="209"/>
      <c r="G20" s="20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15.75" customHeight="1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15.75" customHeight="1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15.75" customHeight="1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15.75" customHeight="1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26" ht="15.75" customHeight="1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 ht="15.75" customHeight="1">
      <c r="A26" s="29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15.75" customHeight="1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15.75" customHeight="1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15.75" customHeight="1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15.75" customHeight="1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15.75" customHeight="1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15.75" customHeight="1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15.75" customHeight="1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15.75" customHeight="1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ht="15.75" customHeight="1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ht="15.75" customHeight="1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1:26" ht="15.75" customHeight="1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ht="15.75" customHeight="1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1:26" ht="15.75" customHeight="1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1:26" ht="15.75" customHeight="1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6" ht="15.75" customHeight="1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6" ht="15.75" customHeight="1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6" ht="15.75" customHeight="1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ht="15.75" customHeight="1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15.75" customHeight="1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15.75" customHeight="1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15.75" customHeight="1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15.75" customHeight="1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15.75" customHeight="1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ht="15.75" customHeight="1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ht="15.75" customHeight="1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1:26" ht="15.75" customHeight="1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ht="15.75" customHeight="1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spans="1:26" ht="15.75" customHeight="1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ht="15.75" customHeight="1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ht="15.75" customHeight="1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ht="15.75" customHeight="1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ht="15.75" customHeight="1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ht="15.75" customHeight="1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ht="15.75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15.75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15.7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15.75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15.75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ht="15.7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ht="15.7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ht="15.7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15.7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ht="15.7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15.7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ht="15.7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ht="15.7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ht="15.7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15.7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ht="15.7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ht="15.75" customHeight="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ht="15.75" customHeight="1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ht="15.75" customHeight="1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ht="15.75" customHeight="1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6" ht="15.75" customHeight="1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5.75" customHeight="1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5.75" customHeight="1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5.75" customHeight="1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15.75" customHeight="1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15.75" customHeight="1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5.75" customHeight="1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15.75" customHeigh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15.75" customHeigh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5.75" customHeigh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5.75" customHeigh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5.75" customHeigh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5.75" customHeigh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5.75" customHeigh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5.75" customHeigh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5.75" customHeigh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5.75" customHeigh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15.75" customHeigh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15.75" customHeigh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15.75" customHeigh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5.75" customHeigh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5.75" customHeigh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15.75" customHeigh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15.75" customHeigh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15.75" customHeigh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15.75" customHeigh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15.75" customHeigh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15.75" customHeigh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15.75" customHeigh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15.75" customHeigh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15.75" customHeigh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15.75" customHeigh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15.75" customHeigh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15.75" customHeigh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15.75" customHeigh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15.75" customHeigh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15.75" customHeigh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15.75" customHeigh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15.75" customHeigh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15.75" customHeigh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15.75" customHeigh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15.75" customHeigh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15.75" customHeigh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15.75" customHeigh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15.75" customHeigh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15.75" customHeigh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15.75" customHeigh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15.75" customHeigh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15.75" customHeigh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15.75" customHeigh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15.75" customHeigh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15.75" customHeigh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15.75" customHeigh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15.75" customHeigh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15.75" customHeigh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15.75" customHeigh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15.75" customHeigh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15.75" customHeigh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15.75" customHeigh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15.75" customHeigh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15.75" customHeigh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15.75" customHeigh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15.75" customHeigh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15.75" customHeigh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15.75" customHeigh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15.75" customHeigh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15.75" customHeigh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15.75" customHeigh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15.75" customHeigh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15.75" customHeigh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15.75" customHeigh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15.75" customHeigh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15.75" customHeigh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15.75" customHeigh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15.75" customHeigh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15.75" customHeigh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15.75" customHeigh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15.75" customHeigh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15.75" customHeigh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15.75" customHeigh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15.75" customHeigh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15.75" customHeigh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15.75" customHeigh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15.75" customHeigh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15.75" customHeigh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15.75" customHeigh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15.75" customHeigh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15.75" customHeigh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15.75" customHeigh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15.75" customHeigh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15.75" customHeigh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15.75" customHeigh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15.75" customHeigh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15.75" customHeigh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15.75" customHeigh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15.75" customHeigh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15.75" customHeigh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15.75" customHeigh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15.75" customHeigh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15.75" customHeigh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15.75" customHeigh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15.75" customHeigh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15.75" customHeigh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15.75" customHeigh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15.75" customHeigh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15.75" customHeigh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15.75" customHeigh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15.75" customHeigh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15.75" customHeigh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15.75" customHeigh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15.75" customHeigh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15.75" customHeigh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15.75" customHeigh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15.75" customHeigh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15.75" customHeigh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15.75" customHeigh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15.75" customHeigh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15.75" customHeigh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15.75" customHeigh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15.75" customHeigh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15.75" customHeigh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15.75" customHeigh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15.75" customHeigh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15.75" customHeigh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15.75" customHeigh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15.75" customHeigh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15.75" customHeigh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15.75" customHeigh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15.75" customHeigh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15.75" customHeigh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15.75" customHeigh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15.75" customHeigh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15.75" customHeigh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15.75" customHeigh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15.75" customHeigh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15.75" customHeigh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15.75" customHeigh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15.75" customHeigh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15.75" customHeigh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15.75" customHeigh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15.75" customHeigh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15.75" customHeigh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15.75" customHeigh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15.75" customHeigh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15.75" customHeigh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15.75" customHeigh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15.75" customHeigh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15.75" customHeigh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15.75" customHeigh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15.75" customHeigh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15.75" customHeigh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15.75" customHeigh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15.75" customHeigh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15.75" customHeigh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15.75" customHeigh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15.75" customHeigh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15.75" customHeigh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15.75" customHeigh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15.75" customHeigh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15.75" customHeigh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15.75" customHeigh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15.75" customHeigh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15.75" customHeigh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15.75" customHeigh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spans="1:26" ht="15.75" customHeigh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ht="15.75" customHeigh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spans="1:26" ht="15.75" customHeigh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spans="1:26" ht="15.75" customHeigh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spans="1:26" ht="15.75" customHeigh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spans="1:26" ht="15.75" customHeigh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spans="1:26" ht="15.75" customHeigh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spans="1:26" ht="15.75" customHeigh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spans="1:26" ht="15.75" customHeigh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spans="1:26" ht="15.75" customHeigh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spans="1:26" ht="15.75" customHeigh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spans="1:26" ht="15.75" customHeigh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spans="1:26" ht="15.75" customHeigh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spans="1:26" ht="15.75" customHeigh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spans="1:26" ht="15.75" customHeigh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spans="1:26" ht="15.75" customHeigh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spans="1:26" ht="15.75" customHeigh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spans="1:26" ht="15.75" customHeigh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spans="1:26" ht="15.75" customHeigh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spans="1:26" ht="15.75" customHeigh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spans="1:26" ht="15.75" customHeigh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spans="1:26" ht="15.75" customHeigh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spans="1:26" ht="15.75" customHeigh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spans="1:26" ht="15.75" customHeigh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spans="1:26" ht="15.75" customHeigh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spans="1:26" ht="15.75" customHeigh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spans="1:26" ht="15.75" customHeigh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spans="1:26" ht="15.75" customHeigh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spans="1:26" ht="15.75" customHeigh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spans="1:26" ht="15.75" customHeigh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spans="1:26" ht="15.75" customHeigh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spans="1:26" ht="15.75" customHeigh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spans="1:26" ht="15.75" customHeigh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spans="1:26" ht="15.75" customHeigh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spans="1:26" ht="15.75" customHeigh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spans="1:26" ht="15.75" customHeigh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spans="1:26" ht="15.75" customHeigh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spans="1:26" ht="15.75" customHeigh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spans="1:26" ht="15.75" customHeigh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spans="1:26" ht="15.75" customHeigh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spans="1:26" ht="15.75" customHeigh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spans="1:26" ht="15.75" customHeigh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spans="1:26" ht="15.75" customHeigh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spans="1:26" ht="15.75" customHeigh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spans="1:26" ht="15.75" customHeigh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spans="1:26" ht="15.75" customHeigh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spans="1:26" ht="15.75" customHeigh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spans="1:26" ht="15.75" customHeigh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spans="1:26" ht="15.75" customHeigh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spans="1:26" ht="15.75" customHeigh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spans="1:26" ht="15.75" customHeigh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spans="1:26" ht="15.75" customHeigh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spans="1:26" ht="15.75" customHeigh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spans="1:26" ht="15.75" customHeigh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spans="1:26" ht="15.75" customHeigh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spans="1:26" ht="15.75" customHeigh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spans="1:26" ht="15.75" customHeigh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spans="1:26" ht="15.75" customHeigh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spans="1:26" ht="15.75" customHeigh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spans="1:26" ht="15.75" customHeigh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spans="1:26" ht="15.75" customHeigh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spans="1:26" ht="15.75" customHeigh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spans="1:26" ht="15.75" customHeigh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spans="1:26" ht="15.75" customHeigh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spans="1:26" ht="15.75" customHeigh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spans="1:26" ht="15.75" customHeigh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spans="1:26" ht="15.75" customHeigh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spans="1:26" ht="15.75" customHeigh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spans="1:26" ht="15.75" customHeigh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spans="1:26" ht="15.75" customHeigh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spans="1:26" ht="15.75" customHeigh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spans="1:26" ht="15.75" customHeigh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spans="1:26" ht="15.75" customHeigh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spans="1:26" ht="15.75" customHeigh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spans="1:26" ht="15.75" customHeigh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spans="1:26" ht="15.75" customHeigh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spans="1:26" ht="15.75" customHeigh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spans="1:26" ht="15.75" customHeigh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spans="1:26" ht="15.75" customHeigh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spans="1:26" ht="15.75" customHeigh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spans="1:26" ht="15.75" customHeigh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spans="1:26" ht="15.75" customHeigh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spans="1:26" ht="15.75" customHeigh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spans="1:26" ht="15.75" customHeigh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spans="1:26" ht="15.75" customHeigh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spans="1:26" ht="15.75" customHeigh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spans="1:26" ht="15.75" customHeigh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spans="1:26" ht="15.75" customHeigh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spans="1:26" ht="15.75" customHeigh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spans="1:26" ht="15.75" customHeigh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spans="1:26" ht="15.75" customHeigh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spans="1:26" ht="15.75" customHeigh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ht="15.75" customHeigh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spans="1:26" ht="15.75" customHeigh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spans="1:26" ht="15.75" customHeigh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spans="1:26" ht="15.75" customHeigh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spans="1:26" ht="15.75" customHeigh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spans="1:26" ht="15.75" customHeigh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spans="1:26" ht="15.75" customHeigh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spans="1:26" ht="15.75" customHeigh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spans="1:26" ht="15.75" customHeigh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spans="1:26" ht="15.75" customHeigh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spans="1:26" ht="15.75" customHeigh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spans="1:26" ht="15.75" customHeigh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spans="1:26" ht="15.75" customHeigh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spans="1:26" ht="15.75" customHeigh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spans="1:26" ht="15.75" customHeigh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spans="1:26" ht="15.75" customHeigh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spans="1:26" ht="15.75" customHeigh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spans="1:26" ht="15.75" customHeigh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spans="1:26" ht="15.75" customHeigh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spans="1:26" ht="15.75" customHeigh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spans="1:26" ht="15.75" customHeigh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spans="1:26" ht="15.75" customHeigh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spans="1:26" ht="15.75" customHeigh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spans="1:26" ht="15.75" customHeigh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spans="1:26" ht="15.75" customHeigh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spans="1:26" ht="15.75" customHeigh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spans="1:26" ht="15.75" customHeigh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spans="1:26" ht="15.75" customHeigh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spans="1:26" ht="15.75" customHeigh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spans="1:26" ht="15.75" customHeigh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spans="1:26" ht="15.75" customHeigh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spans="1:26" ht="15.75" customHeigh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spans="1:26" ht="15.75" customHeigh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spans="1:26" ht="15.75" customHeigh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spans="1:26" ht="15.75" customHeigh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spans="1:26" ht="15.75" customHeigh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spans="1:26" ht="15.75" customHeigh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spans="1:26" ht="15.75" customHeigh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spans="1:26" ht="15.75" customHeigh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spans="1:26" ht="15.75" customHeigh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spans="1:26" ht="15.75" customHeigh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spans="1:26" ht="15.75" customHeigh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spans="1:26" ht="15.75" customHeigh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spans="1:26" ht="15.75" customHeigh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spans="1:26" ht="15.75" customHeigh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spans="1:26" ht="15.75" customHeigh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spans="1:26" ht="15.75" customHeigh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spans="1:26" ht="15.75" customHeigh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spans="1:26" ht="15.75" customHeigh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spans="1:26" ht="15.75" customHeigh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spans="1:26" ht="15.75" customHeigh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spans="1:26" ht="15.75" customHeigh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spans="1:26" ht="15.75" customHeigh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spans="1:26" ht="15.75" customHeigh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spans="1:26" ht="15.75" customHeigh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spans="1:26" ht="15.75" customHeigh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spans="1:26" ht="15.75" customHeigh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spans="1:26" ht="15.75" customHeigh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spans="1:26" ht="15.75" customHeigh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spans="1:26" ht="15.75" customHeigh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spans="1:26" ht="15.75" customHeigh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spans="1:26" ht="15.75" customHeigh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spans="1:26" ht="15.75" customHeigh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spans="1:26" ht="15.75" customHeigh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spans="1:26" ht="15.75" customHeigh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spans="1:26" ht="15.75" customHeigh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spans="1:26" ht="15.75" customHeigh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spans="1:26" ht="15.75" customHeigh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spans="1:26" ht="15.75" customHeigh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spans="1:26" ht="15.75" customHeigh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spans="1:26" ht="15.75" customHeigh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spans="1:26" ht="15.75" customHeigh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spans="1:26" ht="15.75" customHeigh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spans="1:26" ht="15.75" customHeigh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spans="1:26" ht="15.75" customHeigh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spans="1:26" ht="15.75" customHeigh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spans="1:26" ht="15.75" customHeigh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spans="1:26" ht="15.75" customHeigh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spans="1:26" ht="15.75" customHeigh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spans="1:26" ht="15.75" customHeigh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spans="1:26" ht="15.75" customHeigh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spans="1:26" ht="15.75" customHeigh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spans="1:26" ht="15.75" customHeigh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spans="1:26" ht="15.75" customHeigh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spans="1:26" ht="15.75" customHeigh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spans="1:26" ht="15.75" customHeigh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spans="1:26" ht="15.75" customHeigh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spans="1:26" ht="15.75" customHeigh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spans="1:26" ht="15.75" customHeigh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spans="1:26" ht="15.75" customHeigh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spans="1:26" ht="15.75" customHeigh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spans="1:26" ht="15.75" customHeigh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spans="1:26" ht="15.75" customHeigh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spans="1:26" ht="15.75" customHeigh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spans="1:26" ht="15.75" customHeigh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spans="1:26" ht="15.75" customHeigh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ht="15.75" customHeigh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spans="1:26" ht="15.75" customHeigh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spans="1:26" ht="15.75" customHeigh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spans="1:26" ht="15.75" customHeigh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spans="1:26" ht="15.75" customHeigh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spans="1:26" ht="15.75" customHeigh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spans="1:26" ht="15.75" customHeigh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spans="1:26" ht="15.75" customHeigh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spans="1:26" ht="15.75" customHeigh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spans="1:26" ht="15.75" customHeigh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spans="1:26" ht="15.75" customHeigh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spans="1:26" ht="15.75" customHeigh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spans="1:26" ht="15.75" customHeigh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spans="1:26" ht="15.75" customHeigh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ht="15.75" customHeigh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spans="1:26" ht="15.75" customHeigh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spans="1:26" ht="15.75" customHeigh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spans="1:26" ht="15.75" customHeigh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spans="1:26" ht="15.75" customHeigh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spans="1:26" ht="15.75" customHeigh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spans="1:26" ht="15.75" customHeigh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spans="1:26" ht="15.75" customHeigh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spans="1:26" ht="15.75" customHeigh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spans="1:26" ht="15.75" customHeigh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spans="1:26" ht="15.75" customHeigh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spans="1:26" ht="15.75" customHeigh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spans="1:26" ht="15.75" customHeigh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5.75" customHeigh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spans="1:26" ht="15.75" customHeigh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spans="1:26" ht="15.75" customHeigh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spans="1:26" ht="15.75" customHeigh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spans="1:26" ht="15.75" customHeigh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spans="1:26" ht="15.75" customHeigh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spans="1:26" ht="15.75" customHeigh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spans="1:26" ht="15.75" customHeigh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spans="1:26" ht="15.75" customHeigh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spans="1:26" ht="15.75" customHeigh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spans="1:26" ht="15.75" customHeigh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spans="1:26" ht="15.75" customHeigh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spans="1:26" ht="15.75" customHeigh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spans="1:26" ht="15.75" customHeigh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spans="1:26" ht="15.75" customHeigh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spans="1:26" ht="15.75" customHeigh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spans="1:26" ht="15.75" customHeigh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spans="1:26" ht="15.75" customHeigh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spans="1:26" ht="15.75" customHeigh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spans="1:26" ht="15.75" customHeigh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spans="1:26" ht="15.75" customHeigh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spans="1:26" ht="15.75" customHeigh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spans="1:26" ht="15.75" customHeigh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spans="1:26" ht="15.75" customHeigh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spans="1:26" ht="15.75" customHeigh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spans="1:26" ht="15.75" customHeigh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spans="1:26" ht="15.75" customHeigh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spans="1:26" ht="15.75" customHeigh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spans="1:26" ht="15.75" customHeigh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spans="1:26" ht="15.75" customHeigh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spans="1:26" ht="15.75" customHeigh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spans="1:26" ht="15.75" customHeigh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spans="1:26" ht="15.75" customHeigh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spans="1:26" ht="15.75" customHeigh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spans="1:26" ht="15.75" customHeigh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spans="1:26" ht="15.75" customHeigh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spans="1:26" ht="15.75" customHeigh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spans="1:26" ht="15.75" customHeigh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spans="1:26" ht="15.75" customHeigh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spans="1:26" ht="15.75" customHeigh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spans="1:26" ht="15.75" customHeigh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spans="1:26" ht="15.75" customHeigh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spans="1:26" ht="15.75" customHeigh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spans="1:26" ht="15.75" customHeigh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spans="1:26" ht="15.75" customHeigh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spans="1:26" ht="15.75" customHeigh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spans="1:26" ht="15.75" customHeigh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spans="1:26" ht="15.75" customHeigh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spans="1:26" ht="15.75" customHeigh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spans="1:26" ht="15.75" customHeigh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spans="1:26" ht="15.75" customHeigh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spans="1:26" ht="15.75" customHeigh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spans="1:26" ht="15.75" customHeigh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spans="1:26" ht="15.75" customHeigh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spans="1:26" ht="15.75" customHeigh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spans="1:26" ht="15.75" customHeigh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spans="1:26" ht="15.75" customHeigh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spans="1:26" ht="15.75" customHeigh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spans="1:26" ht="15.75" customHeigh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spans="1:26" ht="15.75" customHeigh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spans="1:26" ht="15.75" customHeigh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spans="1:26" ht="15.75" customHeigh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spans="1:26" ht="15.75" customHeigh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spans="1:26" ht="15.75" customHeigh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spans="1:26" ht="15.75" customHeigh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spans="1:26" ht="15.75" customHeigh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spans="1:26" ht="15.75" customHeigh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spans="1:26" ht="15.75" customHeigh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spans="1:26" ht="15.75" customHeigh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spans="1:26" ht="15.75" customHeigh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spans="1:26" ht="15.75" customHeigh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spans="1:26" ht="15.75" customHeigh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spans="1:26" ht="15.75" customHeigh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spans="1:26" ht="15.75" customHeigh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spans="1:26" ht="15.75" customHeigh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spans="1:26" ht="15.75" customHeigh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spans="1:26" ht="15.75" customHeigh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spans="1:26" ht="15.75" customHeigh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spans="1:26" ht="15.75" customHeigh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spans="1:26" ht="15.75" customHeigh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spans="1:26" ht="15.75" customHeigh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spans="1:26" ht="15.75" customHeigh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spans="1:26" ht="15.75" customHeigh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spans="1:26" ht="15.75" customHeigh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spans="1:26" ht="15.75" customHeigh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spans="1:26" ht="15.75" customHeigh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spans="1:26" ht="15.75" customHeigh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spans="1:26" ht="15.75" customHeigh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spans="1:26" ht="15.75" customHeigh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spans="1:26" ht="15.75" customHeigh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spans="1:26" ht="15.75" customHeigh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spans="1:26" ht="15.75" customHeigh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spans="1:26" ht="15.75" customHeigh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spans="1:26" ht="15.75" customHeigh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spans="1:26" ht="15.75" customHeigh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spans="1:26" ht="15.75" customHeigh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spans="1:26" ht="15.75" customHeigh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spans="1:26" ht="15.75" customHeigh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spans="1:26" ht="15.75" customHeigh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spans="1:26" ht="15.75" customHeigh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spans="1:26" ht="15.75" customHeigh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spans="1:26" ht="15.75" customHeigh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spans="1:26" ht="15.75" customHeigh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spans="1:26" ht="15.75" customHeigh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spans="1:26" ht="15.75" customHeigh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spans="1:26" ht="15.75" customHeigh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spans="1:26" ht="15.75" customHeigh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spans="1:26" ht="15.75" customHeigh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spans="1:26" ht="15.75" customHeigh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spans="1:26" ht="15.75" customHeigh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spans="1:26" ht="15.75" customHeigh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spans="1:26" ht="15.75" customHeigh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spans="1:26" ht="15.75" customHeigh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spans="1:26" ht="15.75" customHeigh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spans="1:26" ht="15.75" customHeigh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spans="1:26" ht="15.75" customHeigh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spans="1:26" ht="15.75" customHeigh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spans="1:26" ht="15.75" customHeigh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spans="1:26" ht="15.75" customHeigh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spans="1:26" ht="15.75" customHeigh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spans="1:26" ht="15.75" customHeigh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spans="1:26" ht="15.75" customHeigh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spans="1:26" ht="15.75" customHeigh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spans="1:26" ht="15.75" customHeigh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spans="1:26" ht="15.75" customHeigh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spans="1:26" ht="15.75" customHeigh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spans="1:26" ht="15.75" customHeigh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spans="1:26" ht="15.75" customHeigh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spans="1:26" ht="15.75" customHeigh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spans="1:26" ht="15.75" customHeigh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spans="1:26" ht="15.75" customHeigh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spans="1:26" ht="15.75" customHeigh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spans="1:26" ht="15.75" customHeigh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spans="1:26" ht="15.75" customHeigh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spans="1:26" ht="15.75" customHeigh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spans="1:26" ht="15.75" customHeigh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spans="1:26" ht="15.75" customHeigh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spans="1:26" ht="15.75" customHeigh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spans="1:26" ht="15.75" customHeigh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spans="1:26" ht="15.75" customHeigh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spans="1:26" ht="15.75" customHeigh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spans="1:26" ht="15.75" customHeigh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spans="1:26" ht="15.75" customHeigh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spans="1:26" ht="15.75" customHeigh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spans="1:26" ht="15.75" customHeigh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spans="1:26" ht="15.75" customHeigh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spans="1:26" ht="15.75" customHeigh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spans="1:26" ht="15.75" customHeigh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spans="1:26" ht="15.75" customHeigh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spans="1:26" ht="15.75" customHeigh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spans="1:26" ht="15.75" customHeigh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spans="1:26" ht="15.75" customHeigh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spans="1:26" ht="15.75" customHeigh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spans="1:26" ht="15.75" customHeigh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spans="1:26" ht="15.75" customHeigh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spans="1:26" ht="15.75" customHeigh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spans="1:26" ht="15.75" customHeigh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spans="1:26" ht="15.75" customHeigh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spans="1:26" ht="15.75" customHeigh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spans="1:26" ht="15.75" customHeigh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spans="1:26" ht="15.75" customHeigh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spans="1:26" ht="15.75" customHeigh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spans="1:26" ht="15.75" customHeigh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spans="1:26" ht="15.75" customHeigh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spans="1:26" ht="15.75" customHeigh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spans="1:26" ht="15.75" customHeigh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spans="1:26" ht="15.75" customHeigh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spans="1:26" ht="15.75" customHeigh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spans="1:26" ht="15.75" customHeigh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spans="1:26" ht="15.75" customHeigh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spans="1:26" ht="15.75" customHeigh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spans="1:26" ht="15.75" customHeigh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spans="1:26" ht="15.75" customHeigh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spans="1:26" ht="15.75" customHeigh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spans="1:26" ht="15.75" customHeigh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spans="1:26" ht="15.75" customHeigh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spans="1:26" ht="15.75" customHeigh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spans="1:26" ht="15.75" customHeigh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spans="1:26" ht="15.75" customHeigh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spans="1:26" ht="15.75" customHeigh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spans="1:26" ht="15.75" customHeigh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spans="1:26" ht="15.75" customHeigh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spans="1:26" ht="15.75" customHeigh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spans="1:26" ht="15.75" customHeigh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spans="1:26" ht="15.75" customHeigh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spans="1:26" ht="15.75" customHeigh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spans="1:26" ht="15.75" customHeigh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spans="1:26" ht="15.75" customHeigh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spans="1:26" ht="15.75" customHeigh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spans="1:26" ht="15.75" customHeigh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spans="1:26" ht="15.75" customHeigh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spans="1:26" ht="15.75" customHeigh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spans="1:26" ht="15.75" customHeigh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spans="1:26" ht="15.75" customHeigh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spans="1:26" ht="15.75" customHeigh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spans="1:26" ht="15.75" customHeigh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spans="1:26" ht="15.75" customHeigh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spans="1:26" ht="15.75" customHeigh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spans="1:26" ht="15.75" customHeigh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spans="1:26" ht="15.75" customHeigh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spans="1:26" ht="15.75" customHeigh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spans="1:26" ht="15.75" customHeigh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spans="1:26" ht="15.75" customHeigh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spans="1:26" ht="15.75" customHeigh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spans="1:26" ht="15.75" customHeigh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spans="1:26" ht="15.75" customHeigh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spans="1:26" ht="15.75" customHeigh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spans="1:26" ht="15.75" customHeigh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spans="1:26" ht="15.75" customHeigh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spans="1:26" ht="15.75" customHeigh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spans="1:26" ht="15.75" customHeigh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spans="1:26" ht="15.75" customHeigh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spans="1:26" ht="15.75" customHeigh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spans="1:26" ht="15.75" customHeigh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spans="1:26" ht="15.75" customHeigh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spans="1:26" ht="15.75" customHeigh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spans="1:26" ht="15.75" customHeigh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spans="1:26" ht="15.75" customHeigh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spans="1:26" ht="15.75" customHeigh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spans="1:26" ht="15.75" customHeigh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spans="1:26" ht="15.75" customHeigh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spans="1:26" ht="15.75" customHeigh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spans="1:26" ht="15.75" customHeigh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spans="1:26" ht="15.75" customHeigh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spans="1:26" ht="15.75" customHeigh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spans="1:26" ht="15.75" customHeigh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spans="1:26" ht="15.75" customHeigh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spans="1:26" ht="15.75" customHeigh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spans="1:26" ht="15.75" customHeigh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spans="1:26" ht="15.75" customHeigh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spans="1:26" ht="15.75" customHeigh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spans="1:26" ht="15.75" customHeigh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spans="1:26" ht="15.75" customHeigh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spans="1:26" ht="15.75" customHeigh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spans="1:26" ht="15.75" customHeigh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spans="1:26" ht="15.75" customHeigh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spans="1:26" ht="15.75" customHeigh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spans="1:26" ht="15.75" customHeigh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spans="1:26" ht="15.75" customHeigh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spans="1:26" ht="15.75" customHeigh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spans="1:26" ht="15.75" customHeigh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spans="1:26" ht="15.75" customHeigh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spans="1:26" ht="15.75" customHeigh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spans="1:26" ht="15.75" customHeigh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spans="1:26" ht="15.75" customHeigh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spans="1:26" ht="15.75" customHeigh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spans="1:26" ht="15.75" customHeigh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spans="1:26" ht="15.75" customHeigh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spans="1:26" ht="15.75" customHeigh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spans="1:26" ht="15.75" customHeigh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spans="1:26" ht="15.75" customHeigh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spans="1:26" ht="15.75" customHeigh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spans="1:26" ht="15.75" customHeigh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spans="1:26" ht="15.75" customHeigh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spans="1:26" ht="15.75" customHeigh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spans="1:26" ht="15.75" customHeigh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spans="1:26" ht="15.75" customHeigh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spans="1:26" ht="15.75" customHeigh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spans="1:26" ht="15.75" customHeigh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spans="1:26" ht="15.75" customHeigh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spans="1:26" ht="15.75" customHeigh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spans="1:26" ht="15.75" customHeigh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spans="1:26" ht="15.75" customHeigh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spans="1:26" ht="15.75" customHeigh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spans="1:26" ht="15.75" customHeigh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spans="1:26" ht="15.75" customHeigh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spans="1:26" ht="15.75" customHeigh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spans="1:26" ht="15.75" customHeigh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spans="1:26" ht="15.75" customHeigh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spans="1:26" ht="15.75" customHeigh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spans="1:26" ht="15.75" customHeigh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spans="1:26" ht="15.75" customHeigh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spans="1:26" ht="15.75" customHeigh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spans="1:26" ht="15.75" customHeigh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spans="1:26" ht="15.75" customHeigh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spans="1:26" ht="15.75" customHeigh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spans="1:26" ht="15.75" customHeigh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spans="1:26" ht="15.75" customHeigh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spans="1:26" ht="15.75" customHeigh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spans="1:26" ht="15.75" customHeigh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spans="1:26" ht="15.75" customHeigh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spans="1:26" ht="15.75" customHeigh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spans="1:26" ht="15.75" customHeigh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spans="1:26" ht="15.75" customHeigh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spans="1:26" ht="15.75" customHeigh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spans="1:26" ht="15.75" customHeigh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spans="1:26" ht="15.75" customHeigh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spans="1:26" ht="15.75" customHeigh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spans="1:26" ht="15.75" customHeigh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spans="1:26" ht="15.75" customHeigh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spans="1:26" ht="15.75" customHeigh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spans="1:26" ht="15.75" customHeigh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spans="1:26" ht="15.75" customHeigh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spans="1:26" ht="15.75" customHeigh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spans="1:26" ht="15.75" customHeigh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spans="1:26" ht="15.75" customHeigh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spans="1:26" ht="15.75" customHeigh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spans="1:26" ht="15.75" customHeigh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spans="1:26" ht="15.75" customHeigh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spans="1:26" ht="15.75" customHeigh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spans="1:26" ht="15.75" customHeigh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spans="1:26" ht="15.75" customHeigh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spans="1:26" ht="15.75" customHeigh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spans="1:26" ht="15.75" customHeigh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spans="1:26" ht="15.75" customHeigh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spans="1:26" ht="15.75" customHeigh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spans="1:26" ht="15.75" customHeigh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spans="1:26" ht="15.75" customHeigh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spans="1:26" ht="15.75" customHeigh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spans="1:26" ht="15.75" customHeigh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spans="1:26" ht="15.75" customHeigh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spans="1:26" ht="15.75" customHeigh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spans="1:26" ht="15.75" customHeigh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spans="1:26" ht="15.75" customHeigh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spans="1:26" ht="15.75" customHeigh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spans="1:26" ht="15.75" customHeigh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spans="1:26" ht="15.75" customHeigh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spans="1:26" ht="15.75" customHeigh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spans="1:26" ht="15.75" customHeigh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spans="1:26" ht="15.75" customHeigh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spans="1:26" ht="15.75" customHeigh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spans="1:26" ht="15.75" customHeigh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spans="1:26" ht="15.75" customHeigh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spans="1:26" ht="15.75" customHeigh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spans="1:26" ht="15.75" customHeigh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spans="1:26" ht="15.75" customHeigh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spans="1:26" ht="15.75" customHeigh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spans="1:26" ht="15.75" customHeigh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spans="1:26" ht="15.75" customHeigh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spans="1:26" ht="15.75" customHeigh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spans="1:26" ht="15.75" customHeigh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spans="1:26" ht="15.75" customHeigh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spans="1:26" ht="15.75" customHeigh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spans="1:26" ht="15.75" customHeigh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spans="1:26" ht="15.75" customHeigh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spans="1:26" ht="15.75" customHeigh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spans="1:26" ht="15.75" customHeigh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spans="1:26" ht="15.75" customHeigh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spans="1:26" ht="15.75" customHeigh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spans="1:26" ht="15.75" customHeigh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spans="1:26" ht="15.75" customHeigh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spans="1:26" ht="15.75" customHeigh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spans="1:26" ht="15.75" customHeigh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spans="1:26" ht="15.75" customHeigh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spans="1:26" ht="15.75" customHeigh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spans="1:26" ht="15.75" customHeigh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spans="1:26" ht="15.75" customHeigh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spans="1:26" ht="15.75" customHeigh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spans="1:26" ht="15.75" customHeigh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spans="1:26" ht="15.75" customHeigh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spans="1:26" ht="15.75" customHeigh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spans="1:26" ht="15.75" customHeigh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spans="1:26" ht="15.75" customHeigh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spans="1:26" ht="15.75" customHeigh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spans="1:26" ht="15.75" customHeigh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spans="1:26" ht="15.75" customHeigh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spans="1:26" ht="15.75" customHeigh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spans="1:26" ht="15.75" customHeigh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spans="1:26" ht="15.75" customHeigh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spans="1:26" ht="15.75" customHeigh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spans="1:26" ht="15.75" customHeigh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spans="1:26" ht="15.75" customHeigh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spans="1:26" ht="15.75" customHeigh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15.75" customHeigh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15.75" customHeigh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15.75" customHeigh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15.75" customHeigh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15.75" customHeigh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15.75" customHeigh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15.75" customHeigh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15.75" customHeigh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15.75" customHeigh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15.75" customHeigh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15.75" customHeigh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15.75" customHeigh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15.75" customHeigh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15.75" customHeigh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15.75" customHeigh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15.75" customHeigh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15.75" customHeigh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15.75" customHeigh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15.75" customHeigh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15.75" customHeigh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15.75" customHeigh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15.75" customHeigh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spans="1:26" ht="15.75" customHeigh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spans="1:26" ht="15.75" customHeigh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spans="1:26" ht="15.75" customHeigh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spans="1:26" ht="15.75" customHeigh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spans="1:26" ht="15.75" customHeigh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spans="1:26" ht="15.75" customHeigh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spans="1:26" ht="15.75" customHeigh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spans="1:26" ht="15.75" customHeigh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spans="1:26" ht="15.75" customHeigh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spans="1:26" ht="15.75" customHeigh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spans="1:26" ht="15.75" customHeigh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spans="1:26" ht="15.75" customHeigh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spans="1:26" ht="15.75" customHeigh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spans="1:26" ht="15.75" customHeigh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spans="1:26" ht="15.75" customHeigh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spans="1:26" ht="15.75" customHeigh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spans="1:26" ht="15.75" customHeigh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spans="1:26" ht="15.75" customHeigh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spans="1:26" ht="15.75" customHeigh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spans="1:26" ht="15.75" customHeigh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spans="1:26" ht="15.75" customHeigh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spans="1:26" ht="15.75" customHeigh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spans="1:26" ht="15.75" customHeigh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spans="1:26" ht="15.75" customHeigh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spans="1:26" ht="15.75" customHeigh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spans="1:26" ht="15.75" customHeigh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spans="1:26" ht="15.75" customHeigh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spans="1:26" ht="15.75" customHeigh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spans="1:26" ht="15.75" customHeigh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spans="1:26" ht="15.75" customHeigh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spans="1:26" ht="15.75" customHeigh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spans="1:26" ht="15.75" customHeigh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spans="1:26" ht="15.75" customHeigh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spans="1:26" ht="15.75" customHeigh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spans="1:26" ht="15.75" customHeigh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spans="1:26" ht="15.75" customHeigh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15.75" customHeigh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15.75" customHeigh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15.75" customHeigh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15.75" customHeigh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15.75" customHeigh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15.75" customHeigh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15.75" customHeigh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15.75" customHeigh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15.75" customHeigh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15.75" customHeigh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15.75" customHeigh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15.75" customHeigh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15.75" customHeigh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15.75" customHeigh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15.75" customHeigh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15.75" customHeigh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15.75" customHeigh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15.75" customHeigh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15.75" customHeigh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15.75" customHeigh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15.75" customHeigh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15.75" customHeigh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15.75" customHeigh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15.75" customHeigh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15.75" customHeigh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15.75" customHeigh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15.75" customHeigh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15.75" customHeigh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15.75" customHeigh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15.75" customHeigh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15.75" customHeigh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15.75" customHeigh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15.75" customHeigh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15.75" customHeigh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15.75" customHeigh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15.75" customHeigh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spans="1:26" ht="15.75" customHeigh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spans="1:26" ht="15.75" customHeigh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spans="1:26" ht="15.75" customHeigh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spans="1:26" ht="15.75" customHeigh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spans="1:26" ht="15.75" customHeigh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spans="1:26" ht="15.75" customHeigh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spans="1:26" ht="15.75" customHeigh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spans="1:26" ht="15.75" customHeigh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spans="1:26" ht="15.75" customHeigh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spans="1:26" ht="15.75" customHeigh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spans="1:26" ht="15.75" customHeigh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spans="1:26" ht="15.75" customHeigh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spans="1:26" ht="15.75" customHeigh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spans="1:26" ht="15.75" customHeigh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spans="1:26" ht="15.75" customHeigh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spans="1:26" ht="15.75" customHeigh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spans="1:26" ht="15.75" customHeigh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spans="1:26" ht="15.75" customHeigh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spans="1:26" ht="15.75" customHeigh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spans="1:26" ht="15.75" customHeigh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spans="1:26" ht="15.75" customHeigh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spans="1:26" ht="15.75" customHeigh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spans="1:26" ht="15.75" customHeigh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spans="1:26" ht="15.75" customHeigh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spans="1:26" ht="15.75" customHeigh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spans="1:26" ht="15.75" customHeigh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spans="1:26" ht="15.75" customHeigh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spans="1:26" ht="15.75" customHeigh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spans="1:26" ht="15.75" customHeigh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spans="1:26" ht="15.75" customHeigh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spans="1:26" ht="15.75" customHeigh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spans="1:26" ht="15.75" customHeigh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spans="1:26" ht="15.75" customHeigh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spans="1:26" ht="15.75" customHeigh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spans="1:26" ht="15.75" customHeigh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spans="1:26" ht="15.75" customHeigh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spans="1:26" ht="15.75" customHeigh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spans="1:26" ht="15.75" customHeigh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spans="1:26" ht="15.75" customHeigh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spans="1:26" ht="15.75" customHeigh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spans="1:26" ht="15.75" customHeigh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spans="1:26" ht="15.75" customHeigh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spans="1:26" ht="15.75" customHeigh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spans="1:26" ht="15.75" customHeigh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spans="1:26" ht="15.75" customHeigh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spans="1:26" ht="15.75" customHeigh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spans="1:26" ht="15.75" customHeigh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spans="1:26" ht="15.75" customHeigh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spans="1:26" ht="15.75" customHeigh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spans="1:26" ht="15.75" customHeigh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spans="1:26" ht="15.75" customHeigh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spans="1:26" ht="15.75" customHeigh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spans="1:26" ht="15.75" customHeigh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spans="1:26" ht="15.75" customHeigh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spans="1:26" ht="15.75" customHeigh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spans="1:26" ht="15.75" customHeigh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spans="1:26" ht="15.75" customHeigh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spans="1:26" ht="15.75" customHeigh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spans="1:26" ht="15.75" customHeigh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spans="1:26" ht="15.75" customHeigh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spans="1:26" ht="15.75" customHeigh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spans="1:26" ht="15.75" customHeigh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spans="1:26" ht="15.75" customHeigh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spans="1:26" ht="15.75" customHeigh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spans="1:26" ht="15.75" customHeigh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spans="1:26" ht="15.75" customHeigh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spans="1:26" ht="15.75" customHeigh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spans="1:26" ht="15.75" customHeigh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spans="1:26" ht="15.75" customHeigh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spans="1:26" ht="15.75" customHeigh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spans="1:26" ht="15.75" customHeigh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spans="1:26" ht="15.75" customHeigh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spans="1:26" ht="15.75" customHeigh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spans="1:26" ht="15.75" customHeigh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spans="1:26" ht="15.75" customHeigh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spans="1:26" ht="15.75" customHeigh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spans="1:26" ht="15.75" customHeigh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spans="1:26" ht="15.75" customHeigh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spans="1:26" ht="15.75" customHeigh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spans="1:26" ht="15.75" customHeigh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spans="1:26" ht="15.75" customHeigh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spans="1:26" ht="15.75" customHeigh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spans="1:26" ht="15.75" customHeigh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spans="1:26" ht="15.75" customHeigh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spans="1:26" ht="15.75" customHeigh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</sheetData>
  <mergeCells count="5">
    <mergeCell ref="A1:G1"/>
    <mergeCell ref="B2:F2"/>
    <mergeCell ref="G2:J2"/>
    <mergeCell ref="K2:N2"/>
    <mergeCell ref="A20:G20"/>
  </mergeCells>
  <pageMargins left="0.7" right="0.7" top="0.75" bottom="0.75" header="0" footer="0"/>
  <pageSetup paperSize="9" scale="4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000"/>
  <sheetViews>
    <sheetView view="pageBreakPreview" topLeftCell="A7" zoomScale="60" zoomScaleNormal="100" workbookViewId="0"/>
  </sheetViews>
  <sheetFormatPr defaultColWidth="14.42578125" defaultRowHeight="15" customHeight="1"/>
  <cols>
    <col min="1" max="9" width="8.7109375" customWidth="1"/>
    <col min="10" max="10" width="70.140625" customWidth="1"/>
    <col min="11" max="26" width="8.7109375" customWidth="1"/>
  </cols>
  <sheetData>
    <row r="1" spans="1:1">
      <c r="A1" s="54" t="s">
        <v>67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spans="1:1" ht="15.75" customHeight="1"/>
    <row r="34" spans="1:1" ht="15.75" customHeight="1"/>
    <row r="35" spans="1:1" ht="15.75" customHeight="1"/>
    <row r="36" spans="1:1" ht="15.75" customHeight="1"/>
    <row r="37" spans="1:1" ht="15.75" customHeight="1"/>
    <row r="38" spans="1:1" ht="15.75" customHeight="1"/>
    <row r="39" spans="1:1" ht="15.75" customHeight="1"/>
    <row r="40" spans="1:1" ht="15.75" customHeight="1"/>
    <row r="41" spans="1:1" ht="15.75" customHeight="1">
      <c r="A41" s="54" t="s">
        <v>68</v>
      </c>
    </row>
    <row r="42" spans="1:1" ht="15.75" customHeight="1"/>
    <row r="43" spans="1:1" ht="15.75" customHeight="1"/>
    <row r="44" spans="1:1" ht="15.75" customHeight="1"/>
    <row r="45" spans="1:1" ht="15.75" customHeight="1"/>
    <row r="46" spans="1:1" ht="15.75" customHeight="1"/>
    <row r="47" spans="1:1" ht="15.75" customHeight="1"/>
    <row r="48" spans="1: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spans="1:1" ht="15.75" customHeight="1">
      <c r="A81" s="54" t="s">
        <v>69</v>
      </c>
    </row>
    <row r="82" spans="1:1" ht="15.75" customHeight="1"/>
    <row r="83" spans="1:1" ht="15.75" customHeight="1"/>
    <row r="84" spans="1:1" ht="15.75" customHeight="1"/>
    <row r="85" spans="1:1" ht="15.75" customHeight="1"/>
    <row r="86" spans="1:1" ht="15.75" customHeight="1"/>
    <row r="87" spans="1:1" ht="15.75" customHeight="1"/>
    <row r="88" spans="1:1" ht="15.75" customHeight="1"/>
    <row r="89" spans="1:1" ht="15.75" customHeight="1"/>
    <row r="90" spans="1:1" ht="15.75" customHeight="1"/>
    <row r="91" spans="1:1" ht="15.75" customHeight="1"/>
    <row r="92" spans="1:1" ht="15.75" customHeight="1"/>
    <row r="93" spans="1:1" ht="15.75" customHeight="1"/>
    <row r="94" spans="1:1" ht="15.75" customHeight="1"/>
    <row r="95" spans="1:1" ht="15.75" customHeight="1"/>
    <row r="96" spans="1:1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spans="1:1" ht="15.75" customHeight="1"/>
    <row r="114" spans="1:1" ht="15.75" customHeight="1"/>
    <row r="115" spans="1:1" ht="15.75" customHeight="1"/>
    <row r="116" spans="1:1" ht="15.75" customHeight="1"/>
    <row r="117" spans="1:1" ht="15.75" customHeight="1"/>
    <row r="118" spans="1:1" ht="15.75" customHeight="1"/>
    <row r="119" spans="1:1" ht="15.75" customHeight="1"/>
    <row r="120" spans="1:1" ht="15.75" customHeight="1"/>
    <row r="121" spans="1:1" ht="15.75" customHeight="1">
      <c r="A121" s="54" t="s">
        <v>70</v>
      </c>
    </row>
    <row r="122" spans="1:1" ht="15.75" customHeight="1"/>
    <row r="123" spans="1:1" ht="15.75" customHeight="1"/>
    <row r="124" spans="1:1" ht="15.75" customHeight="1"/>
    <row r="125" spans="1:1" ht="15.75" customHeight="1"/>
    <row r="126" spans="1:1" ht="15.75" customHeight="1"/>
    <row r="127" spans="1:1" ht="15.75" customHeight="1"/>
    <row r="128" spans="1:1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scale="56" orientation="portrait" r:id="rId1"/>
  <rowBreaks count="1" manualBreakCount="1">
    <brk id="79" max="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view="pageBreakPreview" zoomScale="60" zoomScaleNormal="100" workbookViewId="0">
      <selection activeCell="A74" sqref="A74:XFD74"/>
    </sheetView>
  </sheetViews>
  <sheetFormatPr defaultColWidth="14.42578125" defaultRowHeight="15" customHeight="1"/>
  <cols>
    <col min="1" max="1" width="20" customWidth="1"/>
    <col min="2" max="2" width="13.42578125" customWidth="1"/>
    <col min="3" max="26" width="9.140625" customWidth="1"/>
  </cols>
  <sheetData>
    <row r="1" spans="1:26" ht="30" customHeight="1">
      <c r="A1" s="236" t="s">
        <v>71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112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112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spans="1:26" ht="82.5" customHeight="1">
      <c r="A3" s="222" t="s">
        <v>72</v>
      </c>
      <c r="B3" s="222" t="s">
        <v>73</v>
      </c>
      <c r="C3" s="219" t="s">
        <v>74</v>
      </c>
      <c r="D3" s="202"/>
      <c r="E3" s="207" t="s">
        <v>8</v>
      </c>
      <c r="F3" s="198"/>
      <c r="G3" s="220" t="s">
        <v>29</v>
      </c>
      <c r="H3" s="202"/>
      <c r="I3" s="219" t="s">
        <v>30</v>
      </c>
      <c r="J3" s="196"/>
      <c r="K3" s="220" t="s">
        <v>31</v>
      </c>
      <c r="L3" s="202"/>
      <c r="M3" s="219" t="s">
        <v>75</v>
      </c>
      <c r="N3" s="196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>
      <c r="A4" s="212"/>
      <c r="B4" s="212"/>
      <c r="C4" s="10" t="s">
        <v>9</v>
      </c>
      <c r="D4" s="11" t="s">
        <v>76</v>
      </c>
      <c r="E4" s="10" t="s">
        <v>9</v>
      </c>
      <c r="F4" s="12" t="s">
        <v>76</v>
      </c>
      <c r="G4" s="11" t="s">
        <v>9</v>
      </c>
      <c r="H4" s="11" t="s">
        <v>76</v>
      </c>
      <c r="I4" s="10" t="s">
        <v>9</v>
      </c>
      <c r="J4" s="12" t="s">
        <v>76</v>
      </c>
      <c r="K4" s="11" t="s">
        <v>9</v>
      </c>
      <c r="L4" s="11" t="s">
        <v>76</v>
      </c>
      <c r="M4" s="10" t="s">
        <v>9</v>
      </c>
      <c r="N4" s="12" t="s">
        <v>76</v>
      </c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>
      <c r="A5" s="96" t="s">
        <v>77</v>
      </c>
      <c r="B5" s="113" t="s">
        <v>78</v>
      </c>
      <c r="C5" s="114">
        <v>11</v>
      </c>
      <c r="D5" s="115">
        <v>3178</v>
      </c>
      <c r="E5" s="116">
        <v>100</v>
      </c>
      <c r="F5" s="65">
        <v>93.6</v>
      </c>
      <c r="G5" s="116">
        <v>100</v>
      </c>
      <c r="H5" s="65">
        <f>43+48.6</f>
        <v>91.6</v>
      </c>
      <c r="I5" s="116">
        <v>100</v>
      </c>
      <c r="J5" s="64">
        <f>28.4+62.8</f>
        <v>91.199999999999989</v>
      </c>
      <c r="K5" s="116">
        <v>100</v>
      </c>
      <c r="L5" s="64">
        <f>43.5+41.3</f>
        <v>84.8</v>
      </c>
      <c r="M5" s="116">
        <v>72.7</v>
      </c>
      <c r="N5" s="18">
        <v>74.3</v>
      </c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>
      <c r="A6" s="96" t="s">
        <v>79</v>
      </c>
      <c r="B6" s="113" t="s">
        <v>80</v>
      </c>
      <c r="C6" s="114">
        <v>27</v>
      </c>
      <c r="D6" s="115">
        <v>3285</v>
      </c>
      <c r="E6" s="117">
        <v>100</v>
      </c>
      <c r="F6" s="65">
        <v>96.1</v>
      </c>
      <c r="G6" s="118">
        <v>96.3</v>
      </c>
      <c r="H6" s="64">
        <f>42.2+50.8</f>
        <v>93</v>
      </c>
      <c r="I6" s="117">
        <v>100</v>
      </c>
      <c r="J6" s="65">
        <f>22.4+68</f>
        <v>90.4</v>
      </c>
      <c r="K6" s="118">
        <v>100</v>
      </c>
      <c r="L6" s="64">
        <f>37.5+43.8</f>
        <v>81.3</v>
      </c>
      <c r="M6" s="117">
        <v>70.400000000000006</v>
      </c>
      <c r="N6" s="18">
        <v>71.5</v>
      </c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45">
      <c r="A7" s="96" t="s">
        <v>81</v>
      </c>
      <c r="B7" s="113" t="s">
        <v>82</v>
      </c>
      <c r="C7" s="114">
        <v>11</v>
      </c>
      <c r="D7" s="115">
        <v>2593</v>
      </c>
      <c r="E7" s="117">
        <v>100</v>
      </c>
      <c r="F7" s="65">
        <v>92.6</v>
      </c>
      <c r="G7" s="117">
        <v>63.6</v>
      </c>
      <c r="H7" s="64">
        <f>43+47.4</f>
        <v>90.4</v>
      </c>
      <c r="I7" s="117">
        <v>81.8</v>
      </c>
      <c r="J7" s="65">
        <f>30.7+59.9</f>
        <v>90.6</v>
      </c>
      <c r="K7" s="117">
        <v>100</v>
      </c>
      <c r="L7" s="64">
        <f>44.7+38.9</f>
        <v>83.6</v>
      </c>
      <c r="M7" s="117">
        <v>63.6</v>
      </c>
      <c r="N7" s="18">
        <v>69.900000000000006</v>
      </c>
      <c r="O7" s="75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30">
      <c r="A8" s="96" t="s">
        <v>83</v>
      </c>
      <c r="B8" s="113" t="s">
        <v>84</v>
      </c>
      <c r="C8" s="114">
        <v>217</v>
      </c>
      <c r="D8" s="115">
        <v>17569</v>
      </c>
      <c r="E8" s="117">
        <v>94.5</v>
      </c>
      <c r="F8" s="65">
        <v>92.9</v>
      </c>
      <c r="G8" s="118">
        <v>90.7</v>
      </c>
      <c r="H8" s="64">
        <f>38.9+52.9</f>
        <v>91.8</v>
      </c>
      <c r="I8" s="117">
        <v>86.8</v>
      </c>
      <c r="J8" s="65">
        <f>20.8+65.3</f>
        <v>86.1</v>
      </c>
      <c r="K8" s="118">
        <v>92.7</v>
      </c>
      <c r="L8" s="64">
        <f>43.8+45.2</f>
        <v>89</v>
      </c>
      <c r="M8" s="117">
        <v>70.7</v>
      </c>
      <c r="N8" s="18">
        <v>72.2</v>
      </c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30">
      <c r="A9" s="96" t="s">
        <v>85</v>
      </c>
      <c r="B9" s="113" t="s">
        <v>86</v>
      </c>
      <c r="C9" s="114">
        <v>8</v>
      </c>
      <c r="D9" s="115">
        <v>2057</v>
      </c>
      <c r="E9" s="117">
        <v>100</v>
      </c>
      <c r="F9" s="65">
        <v>95.2</v>
      </c>
      <c r="G9" s="118">
        <v>87.5</v>
      </c>
      <c r="H9" s="19">
        <f>43.6+47.4</f>
        <v>91</v>
      </c>
      <c r="I9" s="117">
        <v>87.5</v>
      </c>
      <c r="J9" s="18">
        <f>23.6+63.7</f>
        <v>87.300000000000011</v>
      </c>
      <c r="K9" s="118">
        <v>62.5</v>
      </c>
      <c r="L9" s="19">
        <f>25.9+39.9</f>
        <v>65.8</v>
      </c>
      <c r="M9" s="117">
        <v>75</v>
      </c>
      <c r="N9" s="18">
        <v>78.3</v>
      </c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60">
      <c r="A10" s="96" t="s">
        <v>87</v>
      </c>
      <c r="B10" s="113" t="s">
        <v>88</v>
      </c>
      <c r="C10" s="114">
        <v>13</v>
      </c>
      <c r="D10" s="115">
        <v>3991</v>
      </c>
      <c r="E10" s="117">
        <v>92.3</v>
      </c>
      <c r="F10" s="65">
        <v>93.9</v>
      </c>
      <c r="G10" s="118">
        <v>100</v>
      </c>
      <c r="H10" s="64">
        <f>33.8+50.8</f>
        <v>84.6</v>
      </c>
      <c r="I10" s="117">
        <v>100</v>
      </c>
      <c r="J10" s="65">
        <f>23.8+63.2</f>
        <v>87</v>
      </c>
      <c r="K10" s="118">
        <v>75</v>
      </c>
      <c r="L10" s="64">
        <f>37.5+39.4</f>
        <v>76.900000000000006</v>
      </c>
      <c r="M10" s="117">
        <v>100</v>
      </c>
      <c r="N10" s="18">
        <v>66.7</v>
      </c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60">
      <c r="A11" s="96" t="s">
        <v>89</v>
      </c>
      <c r="B11" s="113" t="s">
        <v>82</v>
      </c>
      <c r="C11" s="114">
        <v>14</v>
      </c>
      <c r="D11" s="115">
        <v>2593</v>
      </c>
      <c r="E11" s="117">
        <v>92.9</v>
      </c>
      <c r="F11" s="65">
        <v>92.6</v>
      </c>
      <c r="G11" s="118">
        <v>100</v>
      </c>
      <c r="H11" s="64">
        <f>43+47.4</f>
        <v>90.4</v>
      </c>
      <c r="I11" s="117">
        <v>100</v>
      </c>
      <c r="J11" s="65">
        <f>30.7+59.9</f>
        <v>90.6</v>
      </c>
      <c r="K11" s="118">
        <v>92.3</v>
      </c>
      <c r="L11" s="64">
        <f>44.7+38.9</f>
        <v>83.6</v>
      </c>
      <c r="M11" s="117">
        <v>100</v>
      </c>
      <c r="N11" s="18">
        <v>69.900000000000006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60">
      <c r="A12" s="96" t="s">
        <v>90</v>
      </c>
      <c r="B12" s="113" t="s">
        <v>91</v>
      </c>
      <c r="C12" s="114">
        <v>132</v>
      </c>
      <c r="D12" s="115">
        <v>10631</v>
      </c>
      <c r="E12" s="117">
        <v>95.5</v>
      </c>
      <c r="F12" s="65">
        <v>94.8</v>
      </c>
      <c r="G12" s="118">
        <v>90.5</v>
      </c>
      <c r="H12" s="64">
        <f>44.1+47.2</f>
        <v>91.300000000000011</v>
      </c>
      <c r="I12" s="117">
        <v>80.2</v>
      </c>
      <c r="J12" s="65">
        <f>30.9+58.3</f>
        <v>89.199999999999989</v>
      </c>
      <c r="K12" s="118">
        <v>69</v>
      </c>
      <c r="L12" s="64">
        <f>34.5+39.5</f>
        <v>74</v>
      </c>
      <c r="M12" s="117">
        <v>61.1</v>
      </c>
      <c r="N12" s="18">
        <v>69.599999999999994</v>
      </c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30">
      <c r="A13" s="119" t="s">
        <v>92</v>
      </c>
      <c r="B13" s="120" t="s">
        <v>93</v>
      </c>
      <c r="C13" s="121">
        <v>32</v>
      </c>
      <c r="D13" s="122">
        <v>7317</v>
      </c>
      <c r="E13" s="123">
        <v>96.9</v>
      </c>
      <c r="F13" s="69">
        <v>94.2</v>
      </c>
      <c r="G13" s="124">
        <v>90.3</v>
      </c>
      <c r="H13" s="68">
        <f>37.3+53.3</f>
        <v>90.6</v>
      </c>
      <c r="I13" s="123">
        <v>83.9</v>
      </c>
      <c r="J13" s="69">
        <f>18.4+65.3</f>
        <v>83.699999999999989</v>
      </c>
      <c r="K13" s="124">
        <v>87.1</v>
      </c>
      <c r="L13" s="68">
        <f>33.8+43.1</f>
        <v>76.900000000000006</v>
      </c>
      <c r="M13" s="123">
        <v>67.7</v>
      </c>
      <c r="N13" s="125">
        <v>74.900000000000006</v>
      </c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75" customHeight="1">
      <c r="A14" s="222" t="s">
        <v>72</v>
      </c>
      <c r="B14" s="222" t="s">
        <v>73</v>
      </c>
      <c r="C14" s="219" t="s">
        <v>74</v>
      </c>
      <c r="D14" s="202"/>
      <c r="E14" s="207" t="s">
        <v>8</v>
      </c>
      <c r="F14" s="198"/>
      <c r="G14" s="220" t="s">
        <v>29</v>
      </c>
      <c r="H14" s="202"/>
      <c r="I14" s="219" t="s">
        <v>30</v>
      </c>
      <c r="J14" s="196"/>
      <c r="K14" s="220" t="s">
        <v>31</v>
      </c>
      <c r="L14" s="202"/>
      <c r="M14" s="219" t="s">
        <v>75</v>
      </c>
      <c r="N14" s="196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25.5" customHeight="1">
      <c r="A15" s="212"/>
      <c r="B15" s="212"/>
      <c r="C15" s="10" t="s">
        <v>9</v>
      </c>
      <c r="D15" s="11" t="s">
        <v>76</v>
      </c>
      <c r="E15" s="126" t="s">
        <v>9</v>
      </c>
      <c r="F15" s="127" t="s">
        <v>76</v>
      </c>
      <c r="G15" s="11" t="s">
        <v>9</v>
      </c>
      <c r="H15" s="11" t="s">
        <v>76</v>
      </c>
      <c r="I15" s="10" t="s">
        <v>9</v>
      </c>
      <c r="J15" s="12" t="s">
        <v>76</v>
      </c>
      <c r="K15" s="11" t="s">
        <v>9</v>
      </c>
      <c r="L15" s="11" t="s">
        <v>76</v>
      </c>
      <c r="M15" s="10" t="s">
        <v>9</v>
      </c>
      <c r="N15" s="12" t="s">
        <v>76</v>
      </c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45">
      <c r="A16" s="96" t="s">
        <v>94</v>
      </c>
      <c r="B16" s="113" t="s">
        <v>93</v>
      </c>
      <c r="C16" s="114">
        <v>42</v>
      </c>
      <c r="D16" s="115">
        <v>7317</v>
      </c>
      <c r="E16" s="117">
        <v>97.6</v>
      </c>
      <c r="F16" s="65">
        <v>94.2</v>
      </c>
      <c r="G16" s="118">
        <v>87.8</v>
      </c>
      <c r="H16" s="64">
        <f>37.3+53.3</f>
        <v>90.6</v>
      </c>
      <c r="I16" s="117">
        <v>85.4</v>
      </c>
      <c r="J16" s="65">
        <f>18.4+65.3</f>
        <v>83.699999999999989</v>
      </c>
      <c r="K16" s="118">
        <v>65.900000000000006</v>
      </c>
      <c r="L16" s="64">
        <f>33.8+43.1</f>
        <v>76.900000000000006</v>
      </c>
      <c r="M16" s="117">
        <v>65.900000000000006</v>
      </c>
      <c r="N16" s="18">
        <v>74.900000000000006</v>
      </c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60">
      <c r="A17" s="96" t="s">
        <v>95</v>
      </c>
      <c r="B17" s="113" t="s">
        <v>96</v>
      </c>
      <c r="C17" s="114">
        <v>150</v>
      </c>
      <c r="D17" s="115">
        <v>6973</v>
      </c>
      <c r="E17" s="117">
        <v>100</v>
      </c>
      <c r="F17" s="65">
        <v>95.3</v>
      </c>
      <c r="G17" s="118">
        <v>85.3</v>
      </c>
      <c r="H17" s="65">
        <f>33.5+53.9</f>
        <v>87.4</v>
      </c>
      <c r="I17" s="117">
        <v>94.7</v>
      </c>
      <c r="J17" s="65">
        <f>26.1+64.5</f>
        <v>90.6</v>
      </c>
      <c r="K17" s="118">
        <v>90.7</v>
      </c>
      <c r="L17" s="65">
        <f>35.6+48.5</f>
        <v>84.1</v>
      </c>
      <c r="M17" s="117">
        <v>50</v>
      </c>
      <c r="N17" s="18">
        <v>60.4</v>
      </c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60">
      <c r="A18" s="96" t="s">
        <v>97</v>
      </c>
      <c r="B18" s="113" t="s">
        <v>88</v>
      </c>
      <c r="C18" s="114">
        <v>13</v>
      </c>
      <c r="D18" s="115">
        <v>3991</v>
      </c>
      <c r="E18" s="117">
        <v>92.3</v>
      </c>
      <c r="F18" s="65">
        <v>93.9</v>
      </c>
      <c r="G18" s="118">
        <v>66.7</v>
      </c>
      <c r="H18" s="64">
        <f>33.8+50.8</f>
        <v>84.6</v>
      </c>
      <c r="I18" s="117">
        <v>75</v>
      </c>
      <c r="J18" s="65">
        <f>23.8+63.2</f>
        <v>87</v>
      </c>
      <c r="K18" s="118">
        <v>75</v>
      </c>
      <c r="L18" s="64">
        <f>37.5+39.4</f>
        <v>76.900000000000006</v>
      </c>
      <c r="M18" s="117">
        <v>41.7</v>
      </c>
      <c r="N18" s="18">
        <v>66.7</v>
      </c>
      <c r="O18" s="75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>
      <c r="A19" s="96" t="s">
        <v>98</v>
      </c>
      <c r="B19" s="113" t="s">
        <v>99</v>
      </c>
      <c r="C19" s="114">
        <v>12</v>
      </c>
      <c r="D19" s="115">
        <v>1596</v>
      </c>
      <c r="E19" s="117">
        <v>100</v>
      </c>
      <c r="F19" s="65">
        <v>94.2</v>
      </c>
      <c r="G19" s="118">
        <v>100</v>
      </c>
      <c r="H19" s="64">
        <f>44.4+48.9</f>
        <v>93.3</v>
      </c>
      <c r="I19" s="117">
        <v>100</v>
      </c>
      <c r="J19" s="65">
        <f>23.2+64.1</f>
        <v>87.3</v>
      </c>
      <c r="K19" s="118">
        <v>100</v>
      </c>
      <c r="L19" s="64">
        <f>29.8+42</f>
        <v>71.8</v>
      </c>
      <c r="M19" s="117">
        <v>75</v>
      </c>
      <c r="N19" s="18">
        <v>76</v>
      </c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120">
      <c r="A20" s="96" t="s">
        <v>100</v>
      </c>
      <c r="B20" s="113" t="s">
        <v>88</v>
      </c>
      <c r="C20" s="128">
        <v>10</v>
      </c>
      <c r="D20" s="115">
        <v>3991</v>
      </c>
      <c r="E20" s="117">
        <v>100</v>
      </c>
      <c r="F20" s="65">
        <v>93.9</v>
      </c>
      <c r="G20" s="118">
        <v>100</v>
      </c>
      <c r="H20" s="64">
        <f>33.8+50.8</f>
        <v>84.6</v>
      </c>
      <c r="I20" s="117">
        <v>90</v>
      </c>
      <c r="J20" s="65">
        <f>23.8+63.2</f>
        <v>87</v>
      </c>
      <c r="K20" s="118">
        <v>100</v>
      </c>
      <c r="L20" s="64">
        <f>37.5+39.4</f>
        <v>76.900000000000006</v>
      </c>
      <c r="M20" s="117">
        <v>100</v>
      </c>
      <c r="N20" s="18">
        <v>66.7</v>
      </c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60">
      <c r="A21" s="96" t="s">
        <v>101</v>
      </c>
      <c r="B21" s="113" t="s">
        <v>91</v>
      </c>
      <c r="C21" s="114">
        <v>13</v>
      </c>
      <c r="D21" s="115">
        <v>10631</v>
      </c>
      <c r="E21" s="117">
        <v>100</v>
      </c>
      <c r="F21" s="65">
        <v>94.8</v>
      </c>
      <c r="G21" s="118">
        <v>92.3</v>
      </c>
      <c r="H21" s="65">
        <f>44.1+47.2</f>
        <v>91.300000000000011</v>
      </c>
      <c r="I21" s="118">
        <v>92.3</v>
      </c>
      <c r="J21" s="65">
        <f>30.9+58.3</f>
        <v>89.199999999999989</v>
      </c>
      <c r="K21" s="118">
        <v>76.900000000000006</v>
      </c>
      <c r="L21" s="64">
        <f>34.5+39.5</f>
        <v>74</v>
      </c>
      <c r="M21" s="117">
        <v>76.900000000000006</v>
      </c>
      <c r="N21" s="18">
        <v>69.599999999999994</v>
      </c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30">
      <c r="A22" s="96" t="s">
        <v>102</v>
      </c>
      <c r="B22" s="113" t="s">
        <v>103</v>
      </c>
      <c r="C22" s="114">
        <v>18</v>
      </c>
      <c r="D22" s="115">
        <v>1292</v>
      </c>
      <c r="E22" s="117">
        <v>94.4</v>
      </c>
      <c r="F22" s="65">
        <v>95.4</v>
      </c>
      <c r="G22" s="118">
        <v>100</v>
      </c>
      <c r="H22" s="64">
        <f>40.2+51.8</f>
        <v>92</v>
      </c>
      <c r="I22" s="117">
        <v>94.1</v>
      </c>
      <c r="J22" s="65">
        <f>26.3+66.2</f>
        <v>92.5</v>
      </c>
      <c r="K22" s="118">
        <v>76.5</v>
      </c>
      <c r="L22" s="64">
        <f>39.1+44.9</f>
        <v>84</v>
      </c>
      <c r="M22" s="117">
        <v>64.7</v>
      </c>
      <c r="N22" s="18">
        <v>70.099999999999994</v>
      </c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15.75" customHeight="1">
      <c r="A23" s="119" t="s">
        <v>104</v>
      </c>
      <c r="B23" s="120" t="s">
        <v>105</v>
      </c>
      <c r="C23" s="121">
        <v>56</v>
      </c>
      <c r="D23" s="129">
        <v>4132</v>
      </c>
      <c r="E23" s="123">
        <v>98.2</v>
      </c>
      <c r="F23" s="69">
        <v>95.8</v>
      </c>
      <c r="G23" s="124">
        <v>96.4</v>
      </c>
      <c r="H23" s="68">
        <f>41.1+51.7</f>
        <v>92.800000000000011</v>
      </c>
      <c r="I23" s="123">
        <v>90.9</v>
      </c>
      <c r="J23" s="69">
        <f>22.8+66.9</f>
        <v>89.7</v>
      </c>
      <c r="K23" s="124">
        <v>89.1</v>
      </c>
      <c r="L23" s="68">
        <f>37.3+45.7</f>
        <v>83</v>
      </c>
      <c r="M23" s="123">
        <v>85.5</v>
      </c>
      <c r="N23" s="125">
        <v>73.7</v>
      </c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75" customHeight="1">
      <c r="A24" s="222" t="s">
        <v>72</v>
      </c>
      <c r="B24" s="222" t="s">
        <v>73</v>
      </c>
      <c r="C24" s="219" t="s">
        <v>74</v>
      </c>
      <c r="D24" s="202"/>
      <c r="E24" s="207" t="s">
        <v>8</v>
      </c>
      <c r="F24" s="198"/>
      <c r="G24" s="220" t="s">
        <v>29</v>
      </c>
      <c r="H24" s="202"/>
      <c r="I24" s="219" t="s">
        <v>30</v>
      </c>
      <c r="J24" s="196"/>
      <c r="K24" s="220" t="s">
        <v>31</v>
      </c>
      <c r="L24" s="202"/>
      <c r="M24" s="219" t="s">
        <v>75</v>
      </c>
      <c r="N24" s="196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26" ht="15.75" customHeight="1">
      <c r="A25" s="212"/>
      <c r="B25" s="212"/>
      <c r="C25" s="10" t="s">
        <v>9</v>
      </c>
      <c r="D25" s="11" t="s">
        <v>76</v>
      </c>
      <c r="E25" s="126" t="s">
        <v>9</v>
      </c>
      <c r="F25" s="127" t="s">
        <v>76</v>
      </c>
      <c r="G25" s="11" t="s">
        <v>9</v>
      </c>
      <c r="H25" s="11" t="s">
        <v>76</v>
      </c>
      <c r="I25" s="10" t="s">
        <v>9</v>
      </c>
      <c r="J25" s="12" t="s">
        <v>76</v>
      </c>
      <c r="K25" s="11" t="s">
        <v>9</v>
      </c>
      <c r="L25" s="11" t="s">
        <v>76</v>
      </c>
      <c r="M25" s="10" t="s">
        <v>9</v>
      </c>
      <c r="N25" s="12" t="s">
        <v>76</v>
      </c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>
      <c r="A26" s="96" t="s">
        <v>106</v>
      </c>
      <c r="B26" s="113" t="s">
        <v>107</v>
      </c>
      <c r="C26" s="114">
        <v>36</v>
      </c>
      <c r="D26" s="115">
        <v>1821</v>
      </c>
      <c r="E26" s="117">
        <v>97.2</v>
      </c>
      <c r="F26" s="65">
        <v>95.2</v>
      </c>
      <c r="G26" s="118">
        <v>100</v>
      </c>
      <c r="H26" s="64">
        <f>43.5+48.7</f>
        <v>92.2</v>
      </c>
      <c r="I26" s="117">
        <v>100</v>
      </c>
      <c r="J26" s="65">
        <f>23.1+66.3</f>
        <v>89.4</v>
      </c>
      <c r="K26" s="118">
        <v>94.3</v>
      </c>
      <c r="L26" s="64">
        <f>32.8+43.4</f>
        <v>76.199999999999989</v>
      </c>
      <c r="M26" s="117">
        <v>91.4</v>
      </c>
      <c r="N26" s="18">
        <v>78.099999999999994</v>
      </c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30">
      <c r="A27" s="96" t="s">
        <v>108</v>
      </c>
      <c r="B27" s="113" t="s">
        <v>109</v>
      </c>
      <c r="C27" s="128">
        <v>43</v>
      </c>
      <c r="D27" s="115">
        <v>2225</v>
      </c>
      <c r="E27" s="117">
        <v>97.7</v>
      </c>
      <c r="F27" s="65">
        <v>95.4</v>
      </c>
      <c r="G27" s="117">
        <v>97.6</v>
      </c>
      <c r="H27" s="65">
        <f>48.6+45.4</f>
        <v>94</v>
      </c>
      <c r="I27" s="117">
        <v>97.6</v>
      </c>
      <c r="J27" s="65">
        <f>29.1+62.7</f>
        <v>91.800000000000011</v>
      </c>
      <c r="K27" s="118">
        <v>95.2</v>
      </c>
      <c r="L27" s="65">
        <f>44.5+44.6</f>
        <v>89.1</v>
      </c>
      <c r="M27" s="117">
        <v>81</v>
      </c>
      <c r="N27" s="65">
        <v>74.8</v>
      </c>
      <c r="O27" s="52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45">
      <c r="A28" s="96" t="s">
        <v>110</v>
      </c>
      <c r="B28" s="113" t="s">
        <v>111</v>
      </c>
      <c r="C28" s="114">
        <v>135</v>
      </c>
      <c r="D28" s="115">
        <v>8368</v>
      </c>
      <c r="E28" s="117">
        <v>100</v>
      </c>
      <c r="F28" s="65">
        <v>93.1</v>
      </c>
      <c r="G28" s="118">
        <v>97.8</v>
      </c>
      <c r="H28" s="64">
        <f>55.3+40.3</f>
        <v>95.6</v>
      </c>
      <c r="I28" s="117">
        <v>99.3</v>
      </c>
      <c r="J28" s="65">
        <f>32.9+61.2</f>
        <v>94.1</v>
      </c>
      <c r="K28" s="118">
        <v>96.3</v>
      </c>
      <c r="L28" s="64">
        <f>49+43.4</f>
        <v>92.4</v>
      </c>
      <c r="M28" s="117">
        <v>85.9</v>
      </c>
      <c r="N28" s="18">
        <v>76.400000000000006</v>
      </c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30">
      <c r="A29" s="96" t="s">
        <v>112</v>
      </c>
      <c r="B29" s="113" t="s">
        <v>113</v>
      </c>
      <c r="C29" s="114">
        <v>77</v>
      </c>
      <c r="D29" s="115">
        <v>8067</v>
      </c>
      <c r="E29" s="117">
        <v>97.4</v>
      </c>
      <c r="F29" s="65">
        <v>94.4</v>
      </c>
      <c r="G29" s="118">
        <v>89.3</v>
      </c>
      <c r="H29" s="64">
        <f>36.7+53.5</f>
        <v>90.2</v>
      </c>
      <c r="I29" s="117">
        <v>92</v>
      </c>
      <c r="J29" s="65">
        <f>22.7+68.5</f>
        <v>91.2</v>
      </c>
      <c r="K29" s="117">
        <v>96</v>
      </c>
      <c r="L29" s="64">
        <f>47.6+43.9</f>
        <v>91.5</v>
      </c>
      <c r="M29" s="117">
        <v>65.3</v>
      </c>
      <c r="N29" s="18">
        <v>65.2</v>
      </c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30">
      <c r="A30" s="96" t="s">
        <v>114</v>
      </c>
      <c r="B30" s="113" t="s">
        <v>115</v>
      </c>
      <c r="C30" s="114">
        <v>75</v>
      </c>
      <c r="D30" s="115">
        <v>5791</v>
      </c>
      <c r="E30" s="117">
        <v>94.7</v>
      </c>
      <c r="F30" s="65">
        <v>92.4</v>
      </c>
      <c r="G30" s="118">
        <v>90.1</v>
      </c>
      <c r="H30" s="64">
        <f>36.5+54</f>
        <v>90.5</v>
      </c>
      <c r="I30" s="117">
        <v>87.3</v>
      </c>
      <c r="J30" s="65">
        <f>20.1+65.8</f>
        <v>85.9</v>
      </c>
      <c r="K30" s="118">
        <v>93</v>
      </c>
      <c r="L30" s="64">
        <f>41.9+45.3</f>
        <v>87.199999999999989</v>
      </c>
      <c r="M30" s="117">
        <v>69</v>
      </c>
      <c r="N30" s="18">
        <v>67.3</v>
      </c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15.75" customHeight="1">
      <c r="A31" s="96" t="s">
        <v>116</v>
      </c>
      <c r="B31" s="113" t="s">
        <v>117</v>
      </c>
      <c r="C31" s="114">
        <v>5</v>
      </c>
      <c r="D31" s="115">
        <v>416</v>
      </c>
      <c r="E31" s="117">
        <v>100</v>
      </c>
      <c r="F31" s="65">
        <v>93.5</v>
      </c>
      <c r="G31" s="118">
        <v>80</v>
      </c>
      <c r="H31" s="64">
        <f>53.2+39.8</f>
        <v>93</v>
      </c>
      <c r="I31" s="117">
        <v>80</v>
      </c>
      <c r="J31" s="65">
        <f>37.3+57.1</f>
        <v>94.4</v>
      </c>
      <c r="K31" s="118">
        <v>80</v>
      </c>
      <c r="L31" s="64">
        <f>47.8+41.4</f>
        <v>89.199999999999989</v>
      </c>
      <c r="M31" s="117">
        <v>100</v>
      </c>
      <c r="N31" s="18">
        <v>76.099999999999994</v>
      </c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15.75" customHeight="1">
      <c r="A32" s="96" t="s">
        <v>118</v>
      </c>
      <c r="B32" s="113" t="s">
        <v>119</v>
      </c>
      <c r="C32" s="114">
        <v>52</v>
      </c>
      <c r="D32" s="115">
        <v>5317</v>
      </c>
      <c r="E32" s="117">
        <v>94.2</v>
      </c>
      <c r="F32" s="65">
        <v>91.2</v>
      </c>
      <c r="G32" s="118">
        <v>95.9</v>
      </c>
      <c r="H32" s="64">
        <f>41.2+50</f>
        <v>91.2</v>
      </c>
      <c r="I32" s="117">
        <v>100</v>
      </c>
      <c r="J32" s="65">
        <f>22.9+66.4</f>
        <v>89.300000000000011</v>
      </c>
      <c r="K32" s="118">
        <v>93.9</v>
      </c>
      <c r="L32" s="64">
        <f>44.9+44.2</f>
        <v>89.1</v>
      </c>
      <c r="M32" s="117">
        <v>79.599999999999994</v>
      </c>
      <c r="N32" s="18">
        <v>67.7</v>
      </c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38.25" customHeight="1">
      <c r="A33" s="130" t="s">
        <v>120</v>
      </c>
      <c r="B33" s="130" t="s">
        <v>121</v>
      </c>
      <c r="C33" s="114">
        <v>52</v>
      </c>
      <c r="D33" s="115">
        <v>2810</v>
      </c>
      <c r="E33" s="117">
        <v>100</v>
      </c>
      <c r="F33" s="65">
        <v>94.9</v>
      </c>
      <c r="G33" s="118">
        <v>82.7</v>
      </c>
      <c r="H33" s="64">
        <f>47.6+45.3</f>
        <v>92.9</v>
      </c>
      <c r="I33" s="117">
        <v>88.5</v>
      </c>
      <c r="J33" s="65">
        <f>29.3+61.4</f>
        <v>90.7</v>
      </c>
      <c r="K33" s="118">
        <v>88.5</v>
      </c>
      <c r="L33" s="64">
        <f>39.8+45</f>
        <v>84.8</v>
      </c>
      <c r="M33" s="117">
        <v>63.5</v>
      </c>
      <c r="N33" s="18">
        <v>71</v>
      </c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>
      <c r="A34" s="96" t="s">
        <v>122</v>
      </c>
      <c r="B34" s="113" t="s">
        <v>123</v>
      </c>
      <c r="C34" s="114">
        <v>76</v>
      </c>
      <c r="D34" s="115">
        <v>3440</v>
      </c>
      <c r="E34" s="131">
        <v>94.7</v>
      </c>
      <c r="F34" s="65">
        <v>88</v>
      </c>
      <c r="G34" s="132">
        <v>93.1</v>
      </c>
      <c r="H34" s="64">
        <f>55.8+37.9</f>
        <v>93.699999999999989</v>
      </c>
      <c r="I34" s="117">
        <v>95.8</v>
      </c>
      <c r="J34" s="65">
        <f>38.8+53.8</f>
        <v>92.6</v>
      </c>
      <c r="K34" s="118">
        <v>95.8</v>
      </c>
      <c r="L34" s="64">
        <f>54+35.7</f>
        <v>89.7</v>
      </c>
      <c r="M34" s="117">
        <v>87.5</v>
      </c>
      <c r="N34" s="18">
        <v>76.7</v>
      </c>
      <c r="O34" s="133"/>
      <c r="P34" s="75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ht="30">
      <c r="A35" s="96" t="s">
        <v>124</v>
      </c>
      <c r="B35" s="113" t="s">
        <v>125</v>
      </c>
      <c r="C35" s="114">
        <v>75</v>
      </c>
      <c r="D35" s="115">
        <v>5277</v>
      </c>
      <c r="E35" s="117">
        <v>97.3</v>
      </c>
      <c r="F35" s="65">
        <v>92.8</v>
      </c>
      <c r="G35" s="118">
        <v>98.6</v>
      </c>
      <c r="H35" s="64">
        <f>48.5+43.5</f>
        <v>92</v>
      </c>
      <c r="I35" s="117">
        <v>100</v>
      </c>
      <c r="J35" s="65">
        <f>30.1+61.4</f>
        <v>91.5</v>
      </c>
      <c r="K35" s="118">
        <v>86.3</v>
      </c>
      <c r="L35" s="64">
        <f>36.4+45.7</f>
        <v>82.1</v>
      </c>
      <c r="M35" s="117">
        <v>80.8</v>
      </c>
      <c r="N35" s="18">
        <v>75</v>
      </c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ht="150">
      <c r="A36" s="119" t="s">
        <v>126</v>
      </c>
      <c r="B36" s="120" t="s">
        <v>127</v>
      </c>
      <c r="C36" s="134">
        <v>11</v>
      </c>
      <c r="D36" s="129">
        <v>649</v>
      </c>
      <c r="E36" s="71">
        <v>100</v>
      </c>
      <c r="F36" s="69">
        <v>96</v>
      </c>
      <c r="G36" s="124">
        <v>90.9</v>
      </c>
      <c r="H36" s="68">
        <f>41.3+48.6</f>
        <v>89.9</v>
      </c>
      <c r="I36" s="123">
        <v>90.9</v>
      </c>
      <c r="J36" s="69">
        <f>29.5+60.5</f>
        <v>90</v>
      </c>
      <c r="K36" s="124">
        <v>90.9</v>
      </c>
      <c r="L36" s="68">
        <f>44.9+37.9</f>
        <v>82.8</v>
      </c>
      <c r="M36" s="123">
        <v>72.7</v>
      </c>
      <c r="N36" s="125">
        <v>65.7</v>
      </c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1:26" ht="105.75" customHeight="1">
      <c r="A37" s="222" t="s">
        <v>72</v>
      </c>
      <c r="B37" s="222" t="s">
        <v>73</v>
      </c>
      <c r="C37" s="219" t="s">
        <v>74</v>
      </c>
      <c r="D37" s="202"/>
      <c r="E37" s="207" t="s">
        <v>8</v>
      </c>
      <c r="F37" s="198"/>
      <c r="G37" s="220" t="s">
        <v>29</v>
      </c>
      <c r="H37" s="202"/>
      <c r="I37" s="219" t="s">
        <v>30</v>
      </c>
      <c r="J37" s="196"/>
      <c r="K37" s="220" t="s">
        <v>31</v>
      </c>
      <c r="L37" s="202"/>
      <c r="M37" s="219" t="s">
        <v>75</v>
      </c>
      <c r="N37" s="196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ht="15.75" customHeight="1">
      <c r="A38" s="212"/>
      <c r="B38" s="212"/>
      <c r="C38" s="10" t="s">
        <v>9</v>
      </c>
      <c r="D38" s="11" t="s">
        <v>76</v>
      </c>
      <c r="E38" s="126" t="s">
        <v>9</v>
      </c>
      <c r="F38" s="127" t="s">
        <v>76</v>
      </c>
      <c r="G38" s="11" t="s">
        <v>9</v>
      </c>
      <c r="H38" s="11" t="s">
        <v>76</v>
      </c>
      <c r="I38" s="10" t="s">
        <v>9</v>
      </c>
      <c r="J38" s="12" t="s">
        <v>76</v>
      </c>
      <c r="K38" s="11" t="s">
        <v>9</v>
      </c>
      <c r="L38" s="11" t="s">
        <v>76</v>
      </c>
      <c r="M38" s="10" t="s">
        <v>9</v>
      </c>
      <c r="N38" s="12" t="s">
        <v>76</v>
      </c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1:26" ht="180">
      <c r="A39" s="135" t="s">
        <v>128</v>
      </c>
      <c r="B39" s="136" t="s">
        <v>82</v>
      </c>
      <c r="C39" s="137">
        <v>2</v>
      </c>
      <c r="D39" s="138">
        <v>2593</v>
      </c>
      <c r="E39" s="139">
        <v>100</v>
      </c>
      <c r="F39" s="140">
        <v>92.6</v>
      </c>
      <c r="G39" s="141" t="s">
        <v>129</v>
      </c>
      <c r="H39" s="68">
        <f t="shared" ref="H39:H41" si="0">43+47.4</f>
        <v>90.4</v>
      </c>
      <c r="I39" s="139" t="s">
        <v>129</v>
      </c>
      <c r="J39" s="69">
        <f t="shared" ref="J39:J41" si="1">30.7+59.9</f>
        <v>90.6</v>
      </c>
      <c r="K39" s="141" t="s">
        <v>129</v>
      </c>
      <c r="L39" s="68">
        <f t="shared" ref="L39:L41" si="2">44.7+38.9</f>
        <v>83.6</v>
      </c>
      <c r="M39" s="139" t="s">
        <v>129</v>
      </c>
      <c r="N39" s="142">
        <v>69.900000000000006</v>
      </c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1:26" ht="120">
      <c r="A40" s="96" t="s">
        <v>130</v>
      </c>
      <c r="B40" s="113" t="s">
        <v>82</v>
      </c>
      <c r="C40" s="128">
        <v>9</v>
      </c>
      <c r="D40" s="115">
        <v>2593</v>
      </c>
      <c r="E40" s="117">
        <v>100</v>
      </c>
      <c r="F40" s="65">
        <v>92.6</v>
      </c>
      <c r="G40" s="117">
        <v>100</v>
      </c>
      <c r="H40" s="64">
        <f t="shared" si="0"/>
        <v>90.4</v>
      </c>
      <c r="I40" s="117">
        <v>100</v>
      </c>
      <c r="J40" s="65">
        <f t="shared" si="1"/>
        <v>90.6</v>
      </c>
      <c r="K40" s="118">
        <v>77.8</v>
      </c>
      <c r="L40" s="64">
        <f t="shared" si="2"/>
        <v>83.6</v>
      </c>
      <c r="M40" s="117">
        <v>88.9</v>
      </c>
      <c r="N40" s="18">
        <v>69.900000000000006</v>
      </c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6" ht="120">
      <c r="A41" s="119" t="s">
        <v>131</v>
      </c>
      <c r="B41" s="120" t="s">
        <v>82</v>
      </c>
      <c r="C41" s="121">
        <v>7</v>
      </c>
      <c r="D41" s="129">
        <v>2593</v>
      </c>
      <c r="E41" s="123">
        <v>85.7</v>
      </c>
      <c r="F41" s="69">
        <v>92.6</v>
      </c>
      <c r="G41" s="124">
        <v>100</v>
      </c>
      <c r="H41" s="68">
        <f t="shared" si="0"/>
        <v>90.4</v>
      </c>
      <c r="I41" s="123">
        <v>83.3</v>
      </c>
      <c r="J41" s="69">
        <f t="shared" si="1"/>
        <v>90.6</v>
      </c>
      <c r="K41" s="123">
        <v>100</v>
      </c>
      <c r="L41" s="68">
        <f t="shared" si="2"/>
        <v>83.6</v>
      </c>
      <c r="M41" s="123">
        <v>33.299999999999997</v>
      </c>
      <c r="N41" s="125">
        <v>69.900000000000006</v>
      </c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6" ht="76.5" customHeight="1">
      <c r="A42" s="222" t="s">
        <v>72</v>
      </c>
      <c r="B42" s="222" t="s">
        <v>73</v>
      </c>
      <c r="C42" s="219" t="s">
        <v>74</v>
      </c>
      <c r="D42" s="202"/>
      <c r="E42" s="207" t="s">
        <v>8</v>
      </c>
      <c r="F42" s="198"/>
      <c r="G42" s="220" t="s">
        <v>29</v>
      </c>
      <c r="H42" s="202"/>
      <c r="I42" s="219" t="s">
        <v>30</v>
      </c>
      <c r="J42" s="196"/>
      <c r="K42" s="220" t="s">
        <v>132</v>
      </c>
      <c r="L42" s="202"/>
      <c r="M42" s="219" t="s">
        <v>75</v>
      </c>
      <c r="N42" s="196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6" ht="15.75" customHeight="1">
      <c r="A43" s="212"/>
      <c r="B43" s="212"/>
      <c r="C43" s="10" t="s">
        <v>9</v>
      </c>
      <c r="D43" s="11" t="s">
        <v>76</v>
      </c>
      <c r="E43" s="126" t="s">
        <v>9</v>
      </c>
      <c r="F43" s="127" t="s">
        <v>76</v>
      </c>
      <c r="G43" s="11" t="s">
        <v>9</v>
      </c>
      <c r="H43" s="11" t="s">
        <v>76</v>
      </c>
      <c r="I43" s="10" t="s">
        <v>9</v>
      </c>
      <c r="J43" s="12" t="s">
        <v>76</v>
      </c>
      <c r="K43" s="11" t="s">
        <v>9</v>
      </c>
      <c r="L43" s="11" t="s">
        <v>76</v>
      </c>
      <c r="M43" s="10" t="s">
        <v>9</v>
      </c>
      <c r="N43" s="12" t="s">
        <v>76</v>
      </c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ht="45">
      <c r="A44" s="97" t="s">
        <v>133</v>
      </c>
      <c r="B44" s="143" t="s">
        <v>134</v>
      </c>
      <c r="C44" s="144">
        <v>9</v>
      </c>
      <c r="D44" s="115">
        <v>406</v>
      </c>
      <c r="E44" s="145">
        <v>100</v>
      </c>
      <c r="F44" s="65">
        <v>86.9</v>
      </c>
      <c r="G44" s="146">
        <v>100</v>
      </c>
      <c r="H44" s="64">
        <f>51.8+40.5</f>
        <v>92.3</v>
      </c>
      <c r="I44" s="145">
        <v>100</v>
      </c>
      <c r="J44" s="65">
        <f>41.4+52.4</f>
        <v>93.8</v>
      </c>
      <c r="K44" s="146">
        <v>88.9</v>
      </c>
      <c r="L44" s="64">
        <f>53+35.4</f>
        <v>88.4</v>
      </c>
      <c r="M44" s="145">
        <v>77.8</v>
      </c>
      <c r="N44" s="17">
        <v>74.2</v>
      </c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30.75" customHeight="1">
      <c r="A45" s="96" t="s">
        <v>135</v>
      </c>
      <c r="B45" s="113" t="s">
        <v>136</v>
      </c>
      <c r="C45" s="128">
        <v>10</v>
      </c>
      <c r="D45" s="115">
        <v>1093</v>
      </c>
      <c r="E45" s="117">
        <v>100</v>
      </c>
      <c r="F45" s="65">
        <v>92.2</v>
      </c>
      <c r="G45" s="118">
        <v>100</v>
      </c>
      <c r="H45" s="64">
        <f>56.3+38</f>
        <v>94.3</v>
      </c>
      <c r="I45" s="117">
        <v>100</v>
      </c>
      <c r="J45" s="65">
        <f>42.7+50.9</f>
        <v>93.6</v>
      </c>
      <c r="K45" s="118">
        <v>90</v>
      </c>
      <c r="L45" s="64">
        <f>49.7+37.4</f>
        <v>87.1</v>
      </c>
      <c r="M45" s="117">
        <v>100</v>
      </c>
      <c r="N45" s="18">
        <v>81.8</v>
      </c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15.75" customHeight="1">
      <c r="A46" s="96" t="s">
        <v>137</v>
      </c>
      <c r="B46" s="113" t="s">
        <v>138</v>
      </c>
      <c r="C46" s="114">
        <v>20</v>
      </c>
      <c r="D46" s="115">
        <v>687</v>
      </c>
      <c r="E46" s="117">
        <v>100</v>
      </c>
      <c r="F46" s="65">
        <v>92.1</v>
      </c>
      <c r="G46" s="118">
        <v>95</v>
      </c>
      <c r="H46" s="64">
        <f>53.2+37.6</f>
        <v>90.800000000000011</v>
      </c>
      <c r="I46" s="117">
        <v>95</v>
      </c>
      <c r="J46" s="65">
        <f>48.2+44.9</f>
        <v>93.1</v>
      </c>
      <c r="K46" s="118">
        <v>90</v>
      </c>
      <c r="L46" s="64">
        <f>57.5+34.1</f>
        <v>91.6</v>
      </c>
      <c r="M46" s="117">
        <v>70</v>
      </c>
      <c r="N46" s="18">
        <v>76.099999999999994</v>
      </c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63" customHeight="1">
      <c r="A47" s="96" t="s">
        <v>139</v>
      </c>
      <c r="B47" s="113" t="s">
        <v>140</v>
      </c>
      <c r="C47" s="114">
        <v>23</v>
      </c>
      <c r="D47" s="115">
        <v>2492</v>
      </c>
      <c r="E47" s="117">
        <v>100</v>
      </c>
      <c r="F47" s="65">
        <v>91.9</v>
      </c>
      <c r="G47" s="118">
        <v>87</v>
      </c>
      <c r="H47" s="64">
        <f>49.9+42.2</f>
        <v>92.1</v>
      </c>
      <c r="I47" s="117">
        <v>91.3</v>
      </c>
      <c r="J47" s="65">
        <f>30.7+59.6</f>
        <v>90.3</v>
      </c>
      <c r="K47" s="118">
        <v>82.6</v>
      </c>
      <c r="L47" s="64">
        <f>46.1+37.9</f>
        <v>84</v>
      </c>
      <c r="M47" s="117">
        <v>65.2</v>
      </c>
      <c r="N47" s="18">
        <v>77.400000000000006</v>
      </c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60">
      <c r="A48" s="96" t="s">
        <v>141</v>
      </c>
      <c r="B48" s="113" t="s">
        <v>142</v>
      </c>
      <c r="C48" s="114">
        <v>2</v>
      </c>
      <c r="D48" s="115">
        <v>3689</v>
      </c>
      <c r="E48" s="117">
        <v>100</v>
      </c>
      <c r="F48" s="65">
        <v>95.2</v>
      </c>
      <c r="G48" s="118" t="s">
        <v>129</v>
      </c>
      <c r="H48" s="65">
        <f t="shared" ref="H48:H50" si="3">46.7+44.1</f>
        <v>90.800000000000011</v>
      </c>
      <c r="I48" s="117" t="s">
        <v>129</v>
      </c>
      <c r="J48" s="65">
        <f t="shared" ref="J48:J50" si="4">37.8+54.9</f>
        <v>92.699999999999989</v>
      </c>
      <c r="K48" s="118" t="s">
        <v>129</v>
      </c>
      <c r="L48" s="64">
        <f t="shared" ref="L48:L50" si="5">46.8+37.2</f>
        <v>84</v>
      </c>
      <c r="M48" s="117" t="s">
        <v>129</v>
      </c>
      <c r="N48" s="18">
        <v>74.900000000000006</v>
      </c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15.75" customHeight="1">
      <c r="A49" s="96" t="s">
        <v>143</v>
      </c>
      <c r="B49" s="113" t="s">
        <v>142</v>
      </c>
      <c r="C49" s="114">
        <v>20</v>
      </c>
      <c r="D49" s="115">
        <v>3689</v>
      </c>
      <c r="E49" s="117">
        <v>100</v>
      </c>
      <c r="F49" s="65">
        <v>95.2</v>
      </c>
      <c r="G49" s="118">
        <v>100</v>
      </c>
      <c r="H49" s="65">
        <f t="shared" si="3"/>
        <v>90.800000000000011</v>
      </c>
      <c r="I49" s="117">
        <v>90</v>
      </c>
      <c r="J49" s="65">
        <f t="shared" si="4"/>
        <v>92.699999999999989</v>
      </c>
      <c r="K49" s="118">
        <v>85</v>
      </c>
      <c r="L49" s="64">
        <f t="shared" si="5"/>
        <v>84</v>
      </c>
      <c r="M49" s="117">
        <v>60</v>
      </c>
      <c r="N49" s="18">
        <v>74.900000000000006</v>
      </c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ht="15.75" customHeight="1">
      <c r="A50" s="96" t="s">
        <v>144</v>
      </c>
      <c r="B50" s="113" t="s">
        <v>142</v>
      </c>
      <c r="C50" s="114">
        <v>54</v>
      </c>
      <c r="D50" s="115">
        <v>3689</v>
      </c>
      <c r="E50" s="117">
        <v>96.3</v>
      </c>
      <c r="F50" s="65">
        <v>95.2</v>
      </c>
      <c r="G50" s="118">
        <v>98.1</v>
      </c>
      <c r="H50" s="65">
        <f t="shared" si="3"/>
        <v>90.800000000000011</v>
      </c>
      <c r="I50" s="117">
        <v>100</v>
      </c>
      <c r="J50" s="65">
        <f t="shared" si="4"/>
        <v>92.699999999999989</v>
      </c>
      <c r="K50" s="118">
        <v>75</v>
      </c>
      <c r="L50" s="64">
        <f t="shared" si="5"/>
        <v>84</v>
      </c>
      <c r="M50" s="117">
        <v>78.8</v>
      </c>
      <c r="N50" s="18">
        <v>74.900000000000006</v>
      </c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ht="30">
      <c r="A51" s="96" t="s">
        <v>145</v>
      </c>
      <c r="B51" s="113" t="s">
        <v>146</v>
      </c>
      <c r="C51" s="114">
        <v>9</v>
      </c>
      <c r="D51" s="115">
        <v>2229</v>
      </c>
      <c r="E51" s="117">
        <v>88.9</v>
      </c>
      <c r="F51" s="65">
        <v>95.3</v>
      </c>
      <c r="G51" s="118">
        <v>87.5</v>
      </c>
      <c r="H51" s="64">
        <f>40.6+49.2</f>
        <v>89.800000000000011</v>
      </c>
      <c r="I51" s="117">
        <v>100</v>
      </c>
      <c r="J51" s="65">
        <f>31.8+59.3</f>
        <v>91.1</v>
      </c>
      <c r="K51" s="118">
        <v>75</v>
      </c>
      <c r="L51" s="64">
        <f>35.9+38.8</f>
        <v>74.699999999999989</v>
      </c>
      <c r="M51" s="117">
        <v>75</v>
      </c>
      <c r="N51" s="18">
        <v>71</v>
      </c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1:26" ht="15.75" customHeight="1">
      <c r="A52" s="96" t="s">
        <v>147</v>
      </c>
      <c r="B52" s="113" t="s">
        <v>148</v>
      </c>
      <c r="C52" s="114">
        <v>13</v>
      </c>
      <c r="D52" s="115">
        <v>1282</v>
      </c>
      <c r="E52" s="61">
        <v>100</v>
      </c>
      <c r="F52" s="65">
        <v>94.5</v>
      </c>
      <c r="G52" s="118">
        <v>100</v>
      </c>
      <c r="H52" s="64">
        <f>48.6+43.8</f>
        <v>92.4</v>
      </c>
      <c r="I52" s="61">
        <v>100</v>
      </c>
      <c r="J52" s="65">
        <f>35+56.6</f>
        <v>91.6</v>
      </c>
      <c r="K52" s="118">
        <v>100</v>
      </c>
      <c r="L52" s="64">
        <f>48.6+34.3</f>
        <v>82.9</v>
      </c>
      <c r="M52" s="61">
        <v>100</v>
      </c>
      <c r="N52" s="18">
        <v>78.900000000000006</v>
      </c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ht="45">
      <c r="A53" s="96" t="s">
        <v>149</v>
      </c>
      <c r="B53" s="113" t="s">
        <v>150</v>
      </c>
      <c r="C53" s="114">
        <v>44</v>
      </c>
      <c r="D53" s="115">
        <v>11962</v>
      </c>
      <c r="E53" s="117">
        <v>93.2</v>
      </c>
      <c r="F53" s="65">
        <v>91.5</v>
      </c>
      <c r="G53" s="118">
        <v>82.9</v>
      </c>
      <c r="H53" s="64">
        <f>50.1+42.6</f>
        <v>92.7</v>
      </c>
      <c r="I53" s="117">
        <v>82.9</v>
      </c>
      <c r="J53" s="65">
        <f>32.7+58.2</f>
        <v>90.9</v>
      </c>
      <c r="K53" s="118">
        <v>90.2</v>
      </c>
      <c r="L53" s="64">
        <f>52.9+38.5</f>
        <v>91.4</v>
      </c>
      <c r="M53" s="117">
        <v>73.2</v>
      </c>
      <c r="N53" s="18">
        <v>76.2</v>
      </c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spans="1:26" ht="45">
      <c r="A54" s="96" t="s">
        <v>151</v>
      </c>
      <c r="B54" s="113" t="s">
        <v>152</v>
      </c>
      <c r="C54" s="114">
        <v>41</v>
      </c>
      <c r="D54" s="115">
        <v>2830</v>
      </c>
      <c r="E54" s="117">
        <v>95.1</v>
      </c>
      <c r="F54" s="65">
        <v>88.5</v>
      </c>
      <c r="G54" s="118">
        <v>97.4</v>
      </c>
      <c r="H54" s="64">
        <f t="shared" ref="H54:H55" si="6">48+42.4</f>
        <v>90.4</v>
      </c>
      <c r="I54" s="117">
        <v>92.3</v>
      </c>
      <c r="J54" s="65">
        <f t="shared" ref="J54:J55" si="7">34+56.5</f>
        <v>90.5</v>
      </c>
      <c r="K54" s="118">
        <v>94.9</v>
      </c>
      <c r="L54" s="64">
        <f t="shared" ref="L54:L55" si="8">53.1+36</f>
        <v>89.1</v>
      </c>
      <c r="M54" s="117">
        <v>79.5</v>
      </c>
      <c r="N54" s="18">
        <v>70.3</v>
      </c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ht="15.75" customHeight="1">
      <c r="A55" s="96" t="s">
        <v>153</v>
      </c>
      <c r="B55" s="113" t="s">
        <v>152</v>
      </c>
      <c r="C55" s="114">
        <v>5</v>
      </c>
      <c r="D55" s="115">
        <v>2830</v>
      </c>
      <c r="E55" s="117">
        <v>100</v>
      </c>
      <c r="F55" s="65">
        <v>88.5</v>
      </c>
      <c r="G55" s="118">
        <v>100</v>
      </c>
      <c r="H55" s="64">
        <f t="shared" si="6"/>
        <v>90.4</v>
      </c>
      <c r="I55" s="117">
        <v>100</v>
      </c>
      <c r="J55" s="65">
        <f t="shared" si="7"/>
        <v>90.5</v>
      </c>
      <c r="K55" s="118">
        <v>100</v>
      </c>
      <c r="L55" s="64">
        <f t="shared" si="8"/>
        <v>89.1</v>
      </c>
      <c r="M55" s="117">
        <v>80</v>
      </c>
      <c r="N55" s="18">
        <v>70.3</v>
      </c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ht="45">
      <c r="A56" s="96" t="s">
        <v>154</v>
      </c>
      <c r="B56" s="113" t="s">
        <v>155</v>
      </c>
      <c r="C56" s="114">
        <v>20</v>
      </c>
      <c r="D56" s="115">
        <v>487</v>
      </c>
      <c r="E56" s="117">
        <v>80</v>
      </c>
      <c r="F56" s="65">
        <v>92.4</v>
      </c>
      <c r="G56" s="118">
        <v>100</v>
      </c>
      <c r="H56" s="64">
        <f>52.2+39.8</f>
        <v>92</v>
      </c>
      <c r="I56" s="117">
        <v>100</v>
      </c>
      <c r="J56" s="65">
        <f>44.4+49.8</f>
        <v>94.199999999999989</v>
      </c>
      <c r="K56" s="118">
        <v>93.8</v>
      </c>
      <c r="L56" s="64">
        <f>55.1+34.4</f>
        <v>89.5</v>
      </c>
      <c r="M56" s="117">
        <v>100</v>
      </c>
      <c r="N56" s="18">
        <v>75.3</v>
      </c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ht="45">
      <c r="A57" s="119" t="s">
        <v>156</v>
      </c>
      <c r="B57" s="120" t="s">
        <v>157</v>
      </c>
      <c r="C57" s="121">
        <v>4</v>
      </c>
      <c r="D57" s="129">
        <v>472</v>
      </c>
      <c r="E57" s="123">
        <v>100</v>
      </c>
      <c r="F57" s="69">
        <v>93.6</v>
      </c>
      <c r="G57" s="124" t="s">
        <v>129</v>
      </c>
      <c r="H57" s="68">
        <f>59.5+34.4</f>
        <v>93.9</v>
      </c>
      <c r="I57" s="123" t="s">
        <v>129</v>
      </c>
      <c r="J57" s="69">
        <f>43.7+48.4</f>
        <v>92.1</v>
      </c>
      <c r="K57" s="124" t="s">
        <v>129</v>
      </c>
      <c r="L57" s="69">
        <f>56.8+33.3</f>
        <v>90.1</v>
      </c>
      <c r="M57" s="123" t="s">
        <v>129</v>
      </c>
      <c r="N57" s="125">
        <v>76.900000000000006</v>
      </c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ht="76.5" customHeight="1">
      <c r="A58" s="222" t="s">
        <v>72</v>
      </c>
      <c r="B58" s="222" t="s">
        <v>73</v>
      </c>
      <c r="C58" s="219" t="s">
        <v>74</v>
      </c>
      <c r="D58" s="202"/>
      <c r="E58" s="238" t="s">
        <v>158</v>
      </c>
      <c r="F58" s="196"/>
      <c r="G58" s="220" t="s">
        <v>29</v>
      </c>
      <c r="H58" s="202"/>
      <c r="I58" s="219" t="s">
        <v>30</v>
      </c>
      <c r="J58" s="196"/>
      <c r="K58" s="220" t="s">
        <v>31</v>
      </c>
      <c r="L58" s="202"/>
      <c r="M58" s="219" t="s">
        <v>75</v>
      </c>
      <c r="N58" s="196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ht="15.75" customHeight="1">
      <c r="A59" s="212"/>
      <c r="B59" s="212"/>
      <c r="C59" s="10" t="s">
        <v>9</v>
      </c>
      <c r="D59" s="11" t="s">
        <v>76</v>
      </c>
      <c r="E59" s="126" t="s">
        <v>9</v>
      </c>
      <c r="F59" s="127" t="s">
        <v>76</v>
      </c>
      <c r="G59" s="11" t="s">
        <v>9</v>
      </c>
      <c r="H59" s="11" t="s">
        <v>76</v>
      </c>
      <c r="I59" s="10" t="s">
        <v>9</v>
      </c>
      <c r="J59" s="12" t="s">
        <v>76</v>
      </c>
      <c r="K59" s="11" t="s">
        <v>9</v>
      </c>
      <c r="L59" s="11" t="s">
        <v>76</v>
      </c>
      <c r="M59" s="10" t="s">
        <v>9</v>
      </c>
      <c r="N59" s="12" t="s">
        <v>76</v>
      </c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ht="30">
      <c r="A60" s="13" t="s">
        <v>159</v>
      </c>
      <c r="B60" s="113" t="s">
        <v>160</v>
      </c>
      <c r="C60" s="114">
        <v>31</v>
      </c>
      <c r="D60" s="115">
        <v>3073</v>
      </c>
      <c r="E60" s="61">
        <v>100</v>
      </c>
      <c r="F60" s="65">
        <v>93.5</v>
      </c>
      <c r="G60" s="118">
        <v>100</v>
      </c>
      <c r="H60" s="64">
        <f>47+46.9</f>
        <v>93.9</v>
      </c>
      <c r="I60" s="117">
        <v>100</v>
      </c>
      <c r="J60" s="65">
        <f>23+64.8</f>
        <v>87.8</v>
      </c>
      <c r="K60" s="118">
        <v>93.5</v>
      </c>
      <c r="L60" s="64">
        <f>44.8+42.5</f>
        <v>87.3</v>
      </c>
      <c r="M60" s="117">
        <v>87.1</v>
      </c>
      <c r="N60" s="18">
        <v>81.400000000000006</v>
      </c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>
      <c r="A61" s="96" t="s">
        <v>161</v>
      </c>
      <c r="B61" s="113" t="s">
        <v>162</v>
      </c>
      <c r="C61" s="114">
        <v>24</v>
      </c>
      <c r="D61" s="115">
        <v>845</v>
      </c>
      <c r="E61" s="117">
        <v>95.8</v>
      </c>
      <c r="F61" s="65">
        <v>91.8</v>
      </c>
      <c r="G61" s="118">
        <v>82.6</v>
      </c>
      <c r="H61" s="65">
        <f>42.8+45.2</f>
        <v>88</v>
      </c>
      <c r="I61" s="117">
        <v>73.900000000000006</v>
      </c>
      <c r="J61" s="65">
        <f>26.8+58.5</f>
        <v>85.3</v>
      </c>
      <c r="K61" s="117">
        <v>95.7</v>
      </c>
      <c r="L61" s="64">
        <f>43.7+39.2</f>
        <v>82.9</v>
      </c>
      <c r="M61" s="117">
        <v>56.5</v>
      </c>
      <c r="N61" s="18">
        <v>70.900000000000006</v>
      </c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>
      <c r="A62" s="96" t="s">
        <v>163</v>
      </c>
      <c r="B62" s="113" t="s">
        <v>146</v>
      </c>
      <c r="C62" s="114">
        <v>10</v>
      </c>
      <c r="D62" s="115">
        <v>2229</v>
      </c>
      <c r="E62" s="117">
        <v>100</v>
      </c>
      <c r="F62" s="65">
        <v>95.3</v>
      </c>
      <c r="G62" s="117">
        <v>80</v>
      </c>
      <c r="H62" s="64">
        <f>40.6+49.2</f>
        <v>89.800000000000011</v>
      </c>
      <c r="I62" s="117">
        <v>80</v>
      </c>
      <c r="J62" s="65">
        <f>31.8+59.3</f>
        <v>91.1</v>
      </c>
      <c r="K62" s="117">
        <v>90</v>
      </c>
      <c r="L62" s="64">
        <f>35.9+38.8</f>
        <v>74.699999999999989</v>
      </c>
      <c r="M62" s="117">
        <v>60</v>
      </c>
      <c r="N62" s="18">
        <v>71</v>
      </c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45">
      <c r="A63" s="96" t="s">
        <v>164</v>
      </c>
      <c r="B63" s="113" t="s">
        <v>150</v>
      </c>
      <c r="C63" s="114">
        <v>56</v>
      </c>
      <c r="D63" s="115">
        <v>11962</v>
      </c>
      <c r="E63" s="117">
        <v>91.1</v>
      </c>
      <c r="F63" s="65">
        <v>91.5</v>
      </c>
      <c r="G63" s="118">
        <v>94.1</v>
      </c>
      <c r="H63" s="64">
        <f>50.1+42.6</f>
        <v>92.7</v>
      </c>
      <c r="I63" s="117">
        <v>92.2</v>
      </c>
      <c r="J63" s="65">
        <f>32.7+58.2</f>
        <v>90.9</v>
      </c>
      <c r="K63" s="118">
        <v>92.2</v>
      </c>
      <c r="L63" s="64">
        <f>52.9+38.5</f>
        <v>91.4</v>
      </c>
      <c r="M63" s="117">
        <v>64.7</v>
      </c>
      <c r="N63" s="18">
        <v>76.2</v>
      </c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90">
      <c r="A64" s="96" t="s">
        <v>165</v>
      </c>
      <c r="B64" s="113" t="s">
        <v>166</v>
      </c>
      <c r="C64" s="128">
        <v>35</v>
      </c>
      <c r="D64" s="115">
        <v>873</v>
      </c>
      <c r="E64" s="117">
        <v>91.4</v>
      </c>
      <c r="F64" s="65">
        <v>92.2</v>
      </c>
      <c r="G64" s="117">
        <v>84.4</v>
      </c>
      <c r="H64" s="64">
        <f>51.2+40.2</f>
        <v>91.4</v>
      </c>
      <c r="I64" s="117">
        <v>90.6</v>
      </c>
      <c r="J64" s="65">
        <f>43.6+51.1</f>
        <v>94.7</v>
      </c>
      <c r="K64" s="118">
        <v>87.5</v>
      </c>
      <c r="L64" s="65">
        <f>53.2+39.6</f>
        <v>92.800000000000011</v>
      </c>
      <c r="M64" s="117">
        <v>68.8</v>
      </c>
      <c r="N64" s="65">
        <v>74.5</v>
      </c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ht="15.75" customHeight="1">
      <c r="A65" s="96" t="s">
        <v>167</v>
      </c>
      <c r="B65" s="113" t="s">
        <v>168</v>
      </c>
      <c r="C65" s="114">
        <v>21</v>
      </c>
      <c r="D65" s="115">
        <v>610</v>
      </c>
      <c r="E65" s="117">
        <v>90.5</v>
      </c>
      <c r="F65" s="65">
        <v>90.8</v>
      </c>
      <c r="G65" s="118">
        <v>94.7</v>
      </c>
      <c r="H65" s="64">
        <f>60.3+34.3</f>
        <v>94.6</v>
      </c>
      <c r="I65" s="117">
        <v>94.7</v>
      </c>
      <c r="J65" s="65">
        <f>48.9+44.9</f>
        <v>93.8</v>
      </c>
      <c r="K65" s="118">
        <v>94.7</v>
      </c>
      <c r="L65" s="64">
        <f>52.2+37.5</f>
        <v>89.7</v>
      </c>
      <c r="M65" s="117">
        <v>89.5</v>
      </c>
      <c r="N65" s="18">
        <v>84.3</v>
      </c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ht="15.75" customHeight="1">
      <c r="A66" s="96" t="s">
        <v>169</v>
      </c>
      <c r="B66" s="113" t="s">
        <v>170</v>
      </c>
      <c r="C66" s="114">
        <v>61</v>
      </c>
      <c r="D66" s="115">
        <v>3038</v>
      </c>
      <c r="E66" s="117">
        <v>98.4</v>
      </c>
      <c r="F66" s="65">
        <v>90.9</v>
      </c>
      <c r="G66" s="118">
        <v>96.7</v>
      </c>
      <c r="H66" s="64">
        <f>56.3+37.7</f>
        <v>94</v>
      </c>
      <c r="I66" s="117">
        <v>98.3</v>
      </c>
      <c r="J66" s="65">
        <f>42.9+51.3</f>
        <v>94.199999999999989</v>
      </c>
      <c r="K66" s="118">
        <v>96.7</v>
      </c>
      <c r="L66" s="64">
        <f>51.8+38</f>
        <v>89.8</v>
      </c>
      <c r="M66" s="117">
        <v>91.7</v>
      </c>
      <c r="N66" s="18">
        <v>82.5</v>
      </c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ht="30">
      <c r="A67" s="96" t="s">
        <v>171</v>
      </c>
      <c r="B67" s="147" t="s">
        <v>150</v>
      </c>
      <c r="C67" s="128">
        <v>113</v>
      </c>
      <c r="D67" s="115">
        <v>11962</v>
      </c>
      <c r="E67" s="117">
        <v>97.3</v>
      </c>
      <c r="F67" s="65">
        <v>91.5</v>
      </c>
      <c r="G67" s="118">
        <v>98.2</v>
      </c>
      <c r="H67" s="64">
        <f>50.1+42.6</f>
        <v>92.7</v>
      </c>
      <c r="I67" s="117">
        <v>94.5</v>
      </c>
      <c r="J67" s="65">
        <f>32.7+58.2</f>
        <v>90.9</v>
      </c>
      <c r="K67" s="118">
        <v>94.5</v>
      </c>
      <c r="L67" s="64">
        <f>52.9+38.5</f>
        <v>91.4</v>
      </c>
      <c r="M67" s="117">
        <v>79.099999999999994</v>
      </c>
      <c r="N67" s="18">
        <v>76.2</v>
      </c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60">
      <c r="A68" s="96" t="s">
        <v>172</v>
      </c>
      <c r="B68" s="147" t="s">
        <v>146</v>
      </c>
      <c r="C68" s="128">
        <v>32</v>
      </c>
      <c r="D68" s="115">
        <v>2229</v>
      </c>
      <c r="E68" s="117">
        <v>93.8</v>
      </c>
      <c r="F68" s="65">
        <v>95.3</v>
      </c>
      <c r="G68" s="118">
        <v>86.7</v>
      </c>
      <c r="H68" s="64">
        <f>40.6+49.2</f>
        <v>89.800000000000011</v>
      </c>
      <c r="I68" s="117">
        <v>86.7</v>
      </c>
      <c r="J68" s="65">
        <f>31.8+59.3</f>
        <v>91.1</v>
      </c>
      <c r="K68" s="118">
        <v>96.7</v>
      </c>
      <c r="L68" s="64">
        <f>35.9+38.8</f>
        <v>74.699999999999989</v>
      </c>
      <c r="M68" s="117">
        <v>60</v>
      </c>
      <c r="N68" s="18">
        <v>71</v>
      </c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ht="60">
      <c r="A69" s="119" t="s">
        <v>173</v>
      </c>
      <c r="B69" s="120" t="s">
        <v>174</v>
      </c>
      <c r="C69" s="121">
        <v>28</v>
      </c>
      <c r="D69" s="129">
        <v>586</v>
      </c>
      <c r="E69" s="123">
        <v>92.9</v>
      </c>
      <c r="F69" s="69">
        <v>84.1</v>
      </c>
      <c r="G69" s="124">
        <v>96.2</v>
      </c>
      <c r="H69" s="68">
        <f>35.3+48.5</f>
        <v>83.8</v>
      </c>
      <c r="I69" s="123">
        <v>96.2</v>
      </c>
      <c r="J69" s="69">
        <f>29.8+59.2</f>
        <v>89</v>
      </c>
      <c r="K69" s="124">
        <v>92.3</v>
      </c>
      <c r="L69" s="68">
        <f>49.7+38.9</f>
        <v>88.6</v>
      </c>
      <c r="M69" s="123">
        <v>61.5</v>
      </c>
      <c r="N69" s="125">
        <v>57.4</v>
      </c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76.5" customHeight="1">
      <c r="A70" s="222" t="s">
        <v>72</v>
      </c>
      <c r="B70" s="222" t="s">
        <v>73</v>
      </c>
      <c r="C70" s="219" t="s">
        <v>74</v>
      </c>
      <c r="D70" s="202"/>
      <c r="E70" s="207" t="s">
        <v>8</v>
      </c>
      <c r="F70" s="198"/>
      <c r="G70" s="220" t="s">
        <v>29</v>
      </c>
      <c r="H70" s="202"/>
      <c r="I70" s="219" t="s">
        <v>30</v>
      </c>
      <c r="J70" s="196"/>
      <c r="K70" s="220" t="s">
        <v>31</v>
      </c>
      <c r="L70" s="202"/>
      <c r="M70" s="219" t="s">
        <v>75</v>
      </c>
      <c r="N70" s="196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ht="15.75" customHeight="1">
      <c r="A71" s="212"/>
      <c r="B71" s="212"/>
      <c r="C71" s="10" t="s">
        <v>9</v>
      </c>
      <c r="D71" s="11" t="s">
        <v>76</v>
      </c>
      <c r="E71" s="126" t="s">
        <v>9</v>
      </c>
      <c r="F71" s="127" t="s">
        <v>76</v>
      </c>
      <c r="G71" s="11" t="s">
        <v>9</v>
      </c>
      <c r="H71" s="11" t="s">
        <v>76</v>
      </c>
      <c r="I71" s="10" t="s">
        <v>9</v>
      </c>
      <c r="J71" s="12" t="s">
        <v>76</v>
      </c>
      <c r="K71" s="11" t="s">
        <v>9</v>
      </c>
      <c r="L71" s="11" t="s">
        <v>76</v>
      </c>
      <c r="M71" s="10" t="s">
        <v>9</v>
      </c>
      <c r="N71" s="12" t="s">
        <v>76</v>
      </c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ht="30">
      <c r="A72" s="97" t="s">
        <v>175</v>
      </c>
      <c r="B72" s="143" t="s">
        <v>176</v>
      </c>
      <c r="C72" s="114">
        <v>33</v>
      </c>
      <c r="D72" s="115">
        <v>1140</v>
      </c>
      <c r="E72" s="117">
        <v>87.9</v>
      </c>
      <c r="F72" s="65">
        <v>86.8</v>
      </c>
      <c r="G72" s="118">
        <v>89.7</v>
      </c>
      <c r="H72" s="64">
        <f>50.5+40.1</f>
        <v>90.6</v>
      </c>
      <c r="I72" s="117">
        <v>93.1</v>
      </c>
      <c r="J72" s="65">
        <f>39.5+53.3</f>
        <v>92.8</v>
      </c>
      <c r="K72" s="118">
        <v>100</v>
      </c>
      <c r="L72" s="64">
        <f>56.7+34.6</f>
        <v>91.300000000000011</v>
      </c>
      <c r="M72" s="117">
        <v>65.5</v>
      </c>
      <c r="N72" s="18">
        <v>75.5</v>
      </c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ht="30">
      <c r="A73" s="96" t="s">
        <v>177</v>
      </c>
      <c r="B73" s="113" t="s">
        <v>178</v>
      </c>
      <c r="C73" s="114">
        <v>10</v>
      </c>
      <c r="D73" s="115">
        <v>481</v>
      </c>
      <c r="E73" s="117">
        <v>100</v>
      </c>
      <c r="F73" s="65">
        <v>91.5</v>
      </c>
      <c r="G73" s="118">
        <v>100</v>
      </c>
      <c r="H73" s="64">
        <f>54.1+38.9</f>
        <v>93</v>
      </c>
      <c r="I73" s="117">
        <v>100</v>
      </c>
      <c r="J73" s="65">
        <f>47.3+46.1</f>
        <v>93.4</v>
      </c>
      <c r="K73" s="118">
        <v>80</v>
      </c>
      <c r="L73" s="64">
        <f>58+31.6</f>
        <v>89.6</v>
      </c>
      <c r="M73" s="117">
        <v>90</v>
      </c>
      <c r="N73" s="18">
        <v>79.8</v>
      </c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45">
      <c r="A74" s="96" t="s">
        <v>179</v>
      </c>
      <c r="B74" s="113" t="s">
        <v>180</v>
      </c>
      <c r="C74" s="128">
        <v>23</v>
      </c>
      <c r="D74" s="115">
        <v>1386</v>
      </c>
      <c r="E74" s="117">
        <v>73.900000000000006</v>
      </c>
      <c r="F74" s="65">
        <v>83</v>
      </c>
      <c r="G74" s="118">
        <v>76.5</v>
      </c>
      <c r="H74" s="64">
        <f>37.1+45.6</f>
        <v>82.7</v>
      </c>
      <c r="I74" s="61">
        <v>88.2</v>
      </c>
      <c r="J74" s="65">
        <f>34+50.6</f>
        <v>84.6</v>
      </c>
      <c r="K74" s="118">
        <v>88.2</v>
      </c>
      <c r="L74" s="64">
        <f>44.1+40.1</f>
        <v>84.2</v>
      </c>
      <c r="M74" s="117">
        <v>64.7</v>
      </c>
      <c r="N74" s="18">
        <v>69</v>
      </c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ht="30">
      <c r="A75" s="96" t="s">
        <v>181</v>
      </c>
      <c r="B75" s="113" t="s">
        <v>182</v>
      </c>
      <c r="C75" s="114">
        <v>65</v>
      </c>
      <c r="D75" s="148">
        <v>2232</v>
      </c>
      <c r="E75" s="117">
        <v>90.8</v>
      </c>
      <c r="F75" s="65">
        <v>90.5</v>
      </c>
      <c r="G75" s="117">
        <v>93.2</v>
      </c>
      <c r="H75" s="65">
        <f>48.1+40.9</f>
        <v>89</v>
      </c>
      <c r="I75" s="117">
        <v>96.6</v>
      </c>
      <c r="J75" s="65">
        <f>36.5+54.4</f>
        <v>90.9</v>
      </c>
      <c r="K75" s="117">
        <v>98.3</v>
      </c>
      <c r="L75" s="65">
        <f>53.3+37.4</f>
        <v>90.699999999999989</v>
      </c>
      <c r="M75" s="117">
        <v>78</v>
      </c>
      <c r="N75" s="18">
        <v>69.2</v>
      </c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ht="75">
      <c r="A76" s="96" t="s">
        <v>183</v>
      </c>
      <c r="B76" s="113" t="s">
        <v>184</v>
      </c>
      <c r="C76" s="114">
        <v>45</v>
      </c>
      <c r="D76" s="115">
        <v>2299</v>
      </c>
      <c r="E76" s="117">
        <v>97.8</v>
      </c>
      <c r="F76" s="65">
        <v>90.7</v>
      </c>
      <c r="G76" s="118">
        <v>86.4</v>
      </c>
      <c r="H76" s="64">
        <f>46+44.7</f>
        <v>90.7</v>
      </c>
      <c r="I76" s="117">
        <v>93.2</v>
      </c>
      <c r="J76" s="65">
        <f>36.8+55.7</f>
        <v>92.5</v>
      </c>
      <c r="K76" s="118">
        <v>93.2</v>
      </c>
      <c r="L76" s="64">
        <f>49.5+40.2</f>
        <v>89.7</v>
      </c>
      <c r="M76" s="117">
        <v>75</v>
      </c>
      <c r="N76" s="18">
        <v>75.5</v>
      </c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ht="45">
      <c r="A77" s="96" t="s">
        <v>185</v>
      </c>
      <c r="B77" s="113" t="s">
        <v>186</v>
      </c>
      <c r="C77" s="114">
        <v>17</v>
      </c>
      <c r="D77" s="115">
        <v>579</v>
      </c>
      <c r="E77" s="117">
        <v>94.1</v>
      </c>
      <c r="F77" s="65">
        <v>88.8</v>
      </c>
      <c r="G77" s="118">
        <v>43.8</v>
      </c>
      <c r="H77" s="64">
        <f>22.2+50.6</f>
        <v>72.8</v>
      </c>
      <c r="I77" s="117">
        <v>62.5</v>
      </c>
      <c r="J77" s="65">
        <f>21.2+58.6</f>
        <v>79.8</v>
      </c>
      <c r="K77" s="118">
        <v>75</v>
      </c>
      <c r="L77" s="64">
        <f>37.2+46.3</f>
        <v>83.5</v>
      </c>
      <c r="M77" s="117">
        <v>43.8</v>
      </c>
      <c r="N77" s="18">
        <v>61.3</v>
      </c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ht="30">
      <c r="A78" s="96" t="s">
        <v>187</v>
      </c>
      <c r="B78" s="113" t="s">
        <v>188</v>
      </c>
      <c r="C78" s="114">
        <v>14</v>
      </c>
      <c r="D78" s="115">
        <v>562</v>
      </c>
      <c r="E78" s="117">
        <v>92.9</v>
      </c>
      <c r="F78" s="65">
        <v>92.9</v>
      </c>
      <c r="G78" s="118">
        <v>92.3</v>
      </c>
      <c r="H78" s="64">
        <f>43.9+42.1</f>
        <v>86</v>
      </c>
      <c r="I78" s="117">
        <v>100</v>
      </c>
      <c r="J78" s="65">
        <f>30.7+55.4</f>
        <v>86.1</v>
      </c>
      <c r="K78" s="118">
        <v>92.3</v>
      </c>
      <c r="L78" s="64">
        <f>53.4+33.1</f>
        <v>86.5</v>
      </c>
      <c r="M78" s="117">
        <v>92.3</v>
      </c>
      <c r="N78" s="18">
        <v>72.400000000000006</v>
      </c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ht="45">
      <c r="A79" s="96" t="s">
        <v>189</v>
      </c>
      <c r="B79" s="113" t="s">
        <v>190</v>
      </c>
      <c r="C79" s="114">
        <v>26</v>
      </c>
      <c r="D79" s="115">
        <v>1219</v>
      </c>
      <c r="E79" s="117">
        <v>96.2</v>
      </c>
      <c r="F79" s="65">
        <v>94.7</v>
      </c>
      <c r="G79" s="118">
        <v>92</v>
      </c>
      <c r="H79" s="64">
        <f>46.4+42.2</f>
        <v>88.6</v>
      </c>
      <c r="I79" s="117">
        <v>96</v>
      </c>
      <c r="J79" s="65">
        <f>41.9+50.9</f>
        <v>92.8</v>
      </c>
      <c r="K79" s="118">
        <v>92</v>
      </c>
      <c r="L79" s="64">
        <f>52.4+37.3</f>
        <v>89.699999999999989</v>
      </c>
      <c r="M79" s="117">
        <v>80</v>
      </c>
      <c r="N79" s="18">
        <v>72.2</v>
      </c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6" ht="15.75" customHeight="1">
      <c r="A80" s="96" t="s">
        <v>191</v>
      </c>
      <c r="B80" s="113" t="s">
        <v>192</v>
      </c>
      <c r="C80" s="114">
        <v>20</v>
      </c>
      <c r="D80" s="115">
        <v>1491</v>
      </c>
      <c r="E80" s="117">
        <v>100</v>
      </c>
      <c r="F80" s="65">
        <v>93.4</v>
      </c>
      <c r="G80" s="118">
        <v>80</v>
      </c>
      <c r="H80" s="64">
        <f>50.6+40.8</f>
        <v>91.4</v>
      </c>
      <c r="I80" s="117">
        <v>90</v>
      </c>
      <c r="J80" s="65">
        <f>38.4+54.2</f>
        <v>92.6</v>
      </c>
      <c r="K80" s="118">
        <v>95</v>
      </c>
      <c r="L80" s="64">
        <f>54+37</f>
        <v>91</v>
      </c>
      <c r="M80" s="117">
        <v>80</v>
      </c>
      <c r="N80" s="18">
        <v>73.3</v>
      </c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8.75" customHeight="1">
      <c r="A81" s="237" t="s">
        <v>193</v>
      </c>
      <c r="B81" s="96" t="s">
        <v>194</v>
      </c>
      <c r="C81" s="147">
        <v>10</v>
      </c>
      <c r="D81" s="115">
        <v>1420</v>
      </c>
      <c r="E81" s="61">
        <v>90</v>
      </c>
      <c r="F81" s="65">
        <v>90.4</v>
      </c>
      <c r="G81" s="61">
        <f>66.7+33.3</f>
        <v>100</v>
      </c>
      <c r="H81" s="65">
        <f>51.9+39.1</f>
        <v>91</v>
      </c>
      <c r="I81" s="61">
        <f>66.7+33.3</f>
        <v>100</v>
      </c>
      <c r="J81" s="65">
        <f>45.7+47.7</f>
        <v>93.4</v>
      </c>
      <c r="K81" s="61">
        <v>100</v>
      </c>
      <c r="L81" s="65">
        <f>58.8+34.3</f>
        <v>93.1</v>
      </c>
      <c r="M81" s="61">
        <v>100</v>
      </c>
      <c r="N81" s="65">
        <v>75.599999999999994</v>
      </c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8.75" customHeight="1">
      <c r="A82" s="211"/>
      <c r="B82" s="96" t="s">
        <v>195</v>
      </c>
      <c r="C82" s="147">
        <v>21</v>
      </c>
      <c r="D82" s="115">
        <v>1254</v>
      </c>
      <c r="E82" s="61">
        <v>95.2</v>
      </c>
      <c r="F82" s="65">
        <v>87.2</v>
      </c>
      <c r="G82" s="61">
        <v>100</v>
      </c>
      <c r="H82" s="65">
        <f>57.7+35.8</f>
        <v>93.5</v>
      </c>
      <c r="I82" s="61">
        <v>95</v>
      </c>
      <c r="J82" s="65">
        <f>48.8+46.1</f>
        <v>94.9</v>
      </c>
      <c r="K82" s="61">
        <f>55+35</f>
        <v>90</v>
      </c>
      <c r="L82" s="65">
        <f>60.3+31.2</f>
        <v>91.5</v>
      </c>
      <c r="M82" s="61">
        <v>75</v>
      </c>
      <c r="N82" s="65">
        <v>77.099999999999994</v>
      </c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30">
      <c r="A83" s="96" t="s">
        <v>196</v>
      </c>
      <c r="B83" s="113" t="s">
        <v>197</v>
      </c>
      <c r="C83" s="114">
        <v>63</v>
      </c>
      <c r="D83" s="115">
        <v>840</v>
      </c>
      <c r="E83" s="117">
        <v>95.2</v>
      </c>
      <c r="F83" s="18">
        <v>94.8</v>
      </c>
      <c r="G83" s="118">
        <v>81.7</v>
      </c>
      <c r="H83" s="19">
        <f>35.4+49</f>
        <v>84.4</v>
      </c>
      <c r="I83" s="117">
        <v>95</v>
      </c>
      <c r="J83" s="18">
        <f>30.3+60.3</f>
        <v>90.6</v>
      </c>
      <c r="K83" s="118">
        <v>85</v>
      </c>
      <c r="L83" s="19">
        <f>48+41.7</f>
        <v>89.7</v>
      </c>
      <c r="M83" s="117">
        <v>71.7</v>
      </c>
      <c r="N83" s="18">
        <v>66.2</v>
      </c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60">
      <c r="A84" s="119" t="s">
        <v>198</v>
      </c>
      <c r="B84" s="120" t="s">
        <v>199</v>
      </c>
      <c r="C84" s="121">
        <v>11</v>
      </c>
      <c r="D84" s="122">
        <v>646</v>
      </c>
      <c r="E84" s="123">
        <v>100</v>
      </c>
      <c r="F84" s="69">
        <v>95.5</v>
      </c>
      <c r="G84" s="124">
        <v>100</v>
      </c>
      <c r="H84" s="68">
        <f>45.7+45.2</f>
        <v>90.9</v>
      </c>
      <c r="I84" s="123">
        <v>100</v>
      </c>
      <c r="J84" s="69">
        <f>37.9+55.8</f>
        <v>93.699999999999989</v>
      </c>
      <c r="K84" s="124">
        <v>100</v>
      </c>
      <c r="L84" s="68">
        <f>43.3+39.1</f>
        <v>82.4</v>
      </c>
      <c r="M84" s="123">
        <v>90.9</v>
      </c>
      <c r="N84" s="125">
        <v>73.7</v>
      </c>
      <c r="O84" s="14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76.5" customHeight="1">
      <c r="A85" s="222" t="s">
        <v>72</v>
      </c>
      <c r="B85" s="222" t="s">
        <v>73</v>
      </c>
      <c r="C85" s="219" t="s">
        <v>74</v>
      </c>
      <c r="D85" s="202"/>
      <c r="E85" s="207" t="s">
        <v>8</v>
      </c>
      <c r="F85" s="198"/>
      <c r="G85" s="220" t="s">
        <v>29</v>
      </c>
      <c r="H85" s="202"/>
      <c r="I85" s="219" t="s">
        <v>30</v>
      </c>
      <c r="J85" s="196"/>
      <c r="K85" s="220" t="s">
        <v>31</v>
      </c>
      <c r="L85" s="202"/>
      <c r="M85" s="219" t="s">
        <v>75</v>
      </c>
      <c r="N85" s="196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5.75" customHeight="1">
      <c r="A86" s="212"/>
      <c r="B86" s="212"/>
      <c r="C86" s="10" t="s">
        <v>9</v>
      </c>
      <c r="D86" s="11" t="s">
        <v>76</v>
      </c>
      <c r="E86" s="126" t="s">
        <v>9</v>
      </c>
      <c r="F86" s="127" t="s">
        <v>76</v>
      </c>
      <c r="G86" s="11" t="s">
        <v>9</v>
      </c>
      <c r="H86" s="11" t="s">
        <v>76</v>
      </c>
      <c r="I86" s="10" t="s">
        <v>9</v>
      </c>
      <c r="J86" s="12" t="s">
        <v>76</v>
      </c>
      <c r="K86" s="11" t="s">
        <v>9</v>
      </c>
      <c r="L86" s="11" t="s">
        <v>76</v>
      </c>
      <c r="M86" s="10" t="s">
        <v>9</v>
      </c>
      <c r="N86" s="12" t="s">
        <v>76</v>
      </c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30">
      <c r="A87" s="150" t="s">
        <v>200</v>
      </c>
      <c r="B87" s="143" t="s">
        <v>201</v>
      </c>
      <c r="C87" s="144">
        <v>56</v>
      </c>
      <c r="D87" s="115">
        <v>4030</v>
      </c>
      <c r="E87" s="117">
        <v>100</v>
      </c>
      <c r="F87" s="65">
        <v>94.7</v>
      </c>
      <c r="G87" s="118">
        <v>96.4</v>
      </c>
      <c r="H87" s="64">
        <f>42.7+48.9</f>
        <v>91.6</v>
      </c>
      <c r="I87" s="61">
        <v>94.6</v>
      </c>
      <c r="J87" s="65">
        <f>24.3+62.7</f>
        <v>87</v>
      </c>
      <c r="K87" s="118">
        <v>82.1</v>
      </c>
      <c r="L87" s="64">
        <f>32.3+41.1</f>
        <v>73.400000000000006</v>
      </c>
      <c r="M87" s="145">
        <v>76.8</v>
      </c>
      <c r="N87" s="17">
        <v>67.900000000000006</v>
      </c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30">
      <c r="A88" s="151" t="s">
        <v>202</v>
      </c>
      <c r="B88" s="113" t="s">
        <v>203</v>
      </c>
      <c r="C88" s="128">
        <v>19</v>
      </c>
      <c r="D88" s="115">
        <v>839</v>
      </c>
      <c r="E88" s="117">
        <v>94.7</v>
      </c>
      <c r="F88" s="65">
        <v>90.6</v>
      </c>
      <c r="G88" s="118">
        <v>94.4</v>
      </c>
      <c r="H88" s="64">
        <f>36.3+50.7</f>
        <v>87</v>
      </c>
      <c r="I88" s="61">
        <v>94.4</v>
      </c>
      <c r="J88" s="65">
        <f>30.4+53.9</f>
        <v>84.3</v>
      </c>
      <c r="K88" s="118">
        <v>88.9</v>
      </c>
      <c r="L88" s="64">
        <f>44.1+40.4</f>
        <v>84.5</v>
      </c>
      <c r="M88" s="117">
        <v>88.9</v>
      </c>
      <c r="N88" s="18">
        <v>64.7</v>
      </c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5.75" customHeight="1">
      <c r="A89" s="151" t="s">
        <v>204</v>
      </c>
      <c r="B89" s="113" t="s">
        <v>201</v>
      </c>
      <c r="C89" s="128">
        <v>50</v>
      </c>
      <c r="D89" s="115">
        <v>4030</v>
      </c>
      <c r="E89" s="117">
        <v>96</v>
      </c>
      <c r="F89" s="65">
        <v>94.7</v>
      </c>
      <c r="G89" s="118">
        <v>83.3</v>
      </c>
      <c r="H89" s="64">
        <f>42.7+48.9</f>
        <v>91.6</v>
      </c>
      <c r="I89" s="117">
        <v>87.5</v>
      </c>
      <c r="J89" s="65">
        <f>24.3+62.7</f>
        <v>87</v>
      </c>
      <c r="K89" s="118">
        <v>62.5</v>
      </c>
      <c r="L89" s="64">
        <f>32.3+41.1</f>
        <v>73.400000000000006</v>
      </c>
      <c r="M89" s="117">
        <v>70.8</v>
      </c>
      <c r="N89" s="18">
        <v>67.900000000000006</v>
      </c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5.75" customHeight="1">
      <c r="A90" s="96" t="s">
        <v>56</v>
      </c>
      <c r="B90" s="113" t="s">
        <v>205</v>
      </c>
      <c r="C90" s="128">
        <v>95</v>
      </c>
      <c r="D90" s="115">
        <v>9258</v>
      </c>
      <c r="E90" s="117">
        <v>93.7</v>
      </c>
      <c r="F90" s="65">
        <v>91.1</v>
      </c>
      <c r="G90" s="118">
        <v>92.1</v>
      </c>
      <c r="H90" s="64">
        <f>45.5+45.7</f>
        <v>91.2</v>
      </c>
      <c r="I90" s="117">
        <v>87.6</v>
      </c>
      <c r="J90" s="65">
        <f>26.5+58.5</f>
        <v>85</v>
      </c>
      <c r="K90" s="118">
        <v>94.4</v>
      </c>
      <c r="L90" s="64">
        <f>37.4+41.6</f>
        <v>79</v>
      </c>
      <c r="M90" s="117">
        <v>77.5</v>
      </c>
      <c r="N90" s="65">
        <v>73.8</v>
      </c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5.75" customHeight="1">
      <c r="A91" s="152" t="s">
        <v>206</v>
      </c>
      <c r="B91" s="120" t="s">
        <v>207</v>
      </c>
      <c r="C91" s="134">
        <v>209</v>
      </c>
      <c r="D91" s="115">
        <v>9403</v>
      </c>
      <c r="E91" s="123">
        <v>94.7</v>
      </c>
      <c r="F91" s="65">
        <v>93</v>
      </c>
      <c r="G91" s="124">
        <v>75.3</v>
      </c>
      <c r="H91" s="64">
        <f>26.6+55.3</f>
        <v>81.900000000000006</v>
      </c>
      <c r="I91" s="123">
        <v>53</v>
      </c>
      <c r="J91" s="65">
        <f>13.5+57</f>
        <v>70.5</v>
      </c>
      <c r="K91" s="124">
        <v>29.8</v>
      </c>
      <c r="L91" s="64">
        <f>21.3+40.4</f>
        <v>61.7</v>
      </c>
      <c r="M91" s="117">
        <v>39.4</v>
      </c>
      <c r="N91" s="125">
        <v>61.2</v>
      </c>
      <c r="O91" s="29"/>
      <c r="P91" s="112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5.75" customHeight="1">
      <c r="A92" s="153" t="s">
        <v>208</v>
      </c>
      <c r="B92" s="154"/>
      <c r="C92" s="155">
        <v>2910</v>
      </c>
      <c r="D92" s="108">
        <v>295104</v>
      </c>
      <c r="E92" s="102">
        <v>95.91</v>
      </c>
      <c r="F92" s="111">
        <v>93.1</v>
      </c>
      <c r="G92" s="103">
        <v>90.58</v>
      </c>
      <c r="H92" s="111">
        <f>42.6+47.9</f>
        <v>90.5</v>
      </c>
      <c r="I92" s="103">
        <v>89.47</v>
      </c>
      <c r="J92" s="111">
        <f>27.5+61.2</f>
        <v>88.7</v>
      </c>
      <c r="K92" s="104">
        <v>85.27</v>
      </c>
      <c r="L92" s="111">
        <f>42.4+41.7</f>
        <v>84.1</v>
      </c>
      <c r="M92" s="104">
        <v>71.23</v>
      </c>
      <c r="N92" s="156">
        <v>72.099999999999994</v>
      </c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5" customHeight="1">
      <c r="A93" s="193" t="s">
        <v>15</v>
      </c>
      <c r="B93" s="194"/>
      <c r="C93" s="194"/>
      <c r="D93" s="194"/>
      <c r="E93" s="194"/>
      <c r="F93" s="194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5" customHeight="1">
      <c r="A94" s="157" t="s">
        <v>209</v>
      </c>
      <c r="B94" s="39"/>
      <c r="C94" s="39"/>
      <c r="D94" s="39"/>
      <c r="E94" s="39"/>
      <c r="F94" s="3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5" customHeight="1">
      <c r="A95" s="208" t="s">
        <v>210</v>
      </c>
      <c r="B95" s="209"/>
      <c r="C95" s="209"/>
      <c r="D95" s="209"/>
      <c r="E95" s="209"/>
      <c r="F95" s="209"/>
      <c r="G95" s="20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5.75" customHeight="1">
      <c r="A96" s="208" t="s">
        <v>211</v>
      </c>
      <c r="B96" s="209"/>
      <c r="C96" s="209"/>
      <c r="D96" s="209"/>
      <c r="E96" s="209"/>
      <c r="F96" s="209"/>
      <c r="G96" s="20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15.75" customHeight="1">
      <c r="A97" s="208" t="s">
        <v>212</v>
      </c>
      <c r="B97" s="209"/>
      <c r="C97" s="209"/>
      <c r="D97" s="209"/>
      <c r="E97" s="209"/>
      <c r="F97" s="209"/>
      <c r="G97" s="20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15.75" customHeigh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15.75" customHeigh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5.75" customHeigh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5.75" customHeigh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15.75" customHeigh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15.75" customHeigh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15.75" customHeigh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15.75" customHeigh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15.75" customHeigh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15.75" customHeigh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15.75" customHeigh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15.75" customHeigh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15.75" customHeigh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15.75" customHeigh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15.75" customHeigh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15.75" customHeigh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15.75" customHeigh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15.75" customHeigh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15.75" customHeigh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15.75" customHeigh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15.75" customHeigh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15.75" customHeigh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15.75" customHeigh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15.75" customHeigh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15.75" customHeigh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15.75" customHeigh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15.75" customHeigh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15.75" customHeigh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15.75" customHeigh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15.75" customHeigh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15.75" customHeigh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15.75" customHeigh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15.75" customHeigh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15.75" customHeigh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15.75" customHeigh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15.75" customHeigh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15.75" customHeigh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15.75" customHeigh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15.75" customHeigh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15.75" customHeigh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15.75" customHeigh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15.75" customHeigh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15.75" customHeigh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15.75" customHeigh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15.75" customHeigh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15.75" customHeigh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15.75" customHeigh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15.75" customHeigh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15.75" customHeigh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15.75" customHeigh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15.75" customHeigh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15.75" customHeigh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15.75" customHeigh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15.75" customHeigh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15.75" customHeigh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15.75" customHeigh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15.75" customHeigh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15.75" customHeigh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15.75" customHeigh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15.75" customHeigh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15.75" customHeigh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15.75" customHeigh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15.75" customHeigh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15.75" customHeigh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15.75" customHeigh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15.75" customHeigh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15.75" customHeigh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15.75" customHeigh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15.75" customHeigh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15.75" customHeigh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15.75" customHeigh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15.75" customHeigh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15.75" customHeigh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15.75" customHeigh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15.75" customHeigh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15.75" customHeigh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15.75" customHeigh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15.75" customHeigh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15.75" customHeigh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15.75" customHeigh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15.75" customHeigh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15.75" customHeigh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15.75" customHeigh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15.75" customHeigh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15.75" customHeigh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15.75" customHeigh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15.75" customHeigh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15.75" customHeigh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15.75" customHeigh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15.75" customHeigh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15.75" customHeigh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15.75" customHeigh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15.75" customHeigh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15.75" customHeigh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15.75" customHeigh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15.75" customHeigh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15.75" customHeigh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15.75" customHeigh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15.75" customHeigh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15.75" customHeigh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15.75" customHeigh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15.75" customHeigh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15.75" customHeigh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15.75" customHeigh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15.75" customHeigh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15.75" customHeigh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15.75" customHeigh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15.75" customHeigh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15.75" customHeigh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15.75" customHeigh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15.75" customHeigh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15.75" customHeigh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15.75" customHeigh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15.75" customHeigh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15.75" customHeigh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15.75" customHeigh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15.75" customHeigh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15.75" customHeigh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15.75" customHeigh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15.75" customHeigh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15.75" customHeigh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15.75" customHeigh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15.75" customHeigh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15.75" customHeigh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15.75" customHeigh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15.75" customHeigh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15.75" customHeigh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15.75" customHeigh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15.75" customHeigh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15.75" customHeigh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15.75" customHeigh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15.75" customHeigh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15.75" customHeigh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15.75" customHeigh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15.75" customHeigh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15.75" customHeigh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15.75" customHeigh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15.75" customHeigh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15.75" customHeigh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15.75" customHeigh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15.75" customHeigh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15.75" customHeigh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15.75" customHeigh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15.75" customHeigh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15.75" customHeigh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15.75" customHeigh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spans="1:26" ht="15.75" customHeigh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ht="15.75" customHeigh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spans="1:26" ht="15.75" customHeigh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spans="1:26" ht="15.75" customHeigh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spans="1:26" ht="15.75" customHeigh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spans="1:26" ht="15.75" customHeigh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spans="1:26" ht="15.75" customHeigh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spans="1:26" ht="15.75" customHeigh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spans="1:26" ht="15.75" customHeigh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spans="1:26" ht="15.75" customHeigh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spans="1:26" ht="15.75" customHeigh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spans="1:26" ht="15.75" customHeigh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spans="1:26" ht="15.75" customHeigh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spans="1:26" ht="15.75" customHeigh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spans="1:26" ht="15.75" customHeigh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spans="1:26" ht="15.75" customHeigh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spans="1:26" ht="15.75" customHeigh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spans="1:26" ht="15.75" customHeigh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spans="1:26" ht="15.75" customHeigh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spans="1:26" ht="15.75" customHeigh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spans="1:26" ht="15.75" customHeigh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spans="1:26" ht="15.75" customHeigh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spans="1:26" ht="15.75" customHeigh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spans="1:26" ht="15.75" customHeigh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spans="1:26" ht="15.75" customHeigh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spans="1:26" ht="15.75" customHeigh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spans="1:26" ht="15.75" customHeigh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spans="1:26" ht="15.75" customHeigh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spans="1:26" ht="15.75" customHeigh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spans="1:26" ht="15.75" customHeigh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spans="1:26" ht="15.75" customHeigh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spans="1:26" ht="15.75" customHeigh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spans="1:26" ht="15.75" customHeigh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spans="1:26" ht="15.75" customHeigh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spans="1:26" ht="15.75" customHeigh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spans="1:26" ht="15.75" customHeigh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spans="1:26" ht="15.75" customHeigh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spans="1:26" ht="15.75" customHeigh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spans="1:26" ht="15.75" customHeigh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spans="1:26" ht="15.75" customHeigh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spans="1:26" ht="15.75" customHeigh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spans="1:26" ht="15.75" customHeigh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spans="1:26" ht="15.75" customHeigh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spans="1:26" ht="15.75" customHeigh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spans="1:26" ht="15.75" customHeigh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spans="1:26" ht="15.75" customHeigh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spans="1:26" ht="15.75" customHeigh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spans="1:26" ht="15.75" customHeigh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spans="1:26" ht="15.75" customHeigh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spans="1:26" ht="15.75" customHeigh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spans="1:26" ht="15.75" customHeigh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spans="1:26" ht="15.75" customHeigh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spans="1:26" ht="15.75" customHeigh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spans="1:26" ht="15.75" customHeigh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spans="1:26" ht="15.75" customHeigh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spans="1:26" ht="15.75" customHeigh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spans="1:26" ht="15.75" customHeigh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spans="1:26" ht="15.75" customHeigh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spans="1:26" ht="15.75" customHeigh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spans="1:26" ht="15.75" customHeigh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spans="1:26" ht="15.75" customHeigh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spans="1:26" ht="15.75" customHeigh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spans="1:26" ht="15.75" customHeigh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spans="1:26" ht="15.75" customHeigh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spans="1:26" ht="15.75" customHeigh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spans="1:26" ht="15.75" customHeigh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spans="1:26" ht="15.75" customHeigh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spans="1:26" ht="15.75" customHeigh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spans="1:26" ht="15.75" customHeigh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spans="1:26" ht="15.75" customHeigh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spans="1:26" ht="15.75" customHeigh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spans="1:26" ht="15.75" customHeigh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spans="1:26" ht="15.75" customHeigh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spans="1:26" ht="15.75" customHeigh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spans="1:26" ht="15.75" customHeigh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spans="1:26" ht="15.75" customHeigh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spans="1:26" ht="15.75" customHeigh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spans="1:26" ht="15.75" customHeigh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spans="1:26" ht="15.75" customHeigh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spans="1:26" ht="15.75" customHeigh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spans="1:26" ht="15.75" customHeigh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spans="1:26" ht="15.75" customHeigh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spans="1:26" ht="15.75" customHeigh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spans="1:26" ht="15.75" customHeigh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spans="1:26" ht="15.75" customHeigh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spans="1:26" ht="15.75" customHeigh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spans="1:26" ht="15.75" customHeigh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spans="1:26" ht="15.75" customHeigh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spans="1:26" ht="15.75" customHeigh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spans="1:26" ht="15.75" customHeigh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spans="1:26" ht="15.75" customHeigh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spans="1:26" ht="15.75" customHeigh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ht="15.75" customHeigh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spans="1:26" ht="15.75" customHeigh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spans="1:26" ht="15.75" customHeigh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spans="1:26" ht="15.75" customHeigh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spans="1:26" ht="15.75" customHeigh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spans="1:26" ht="15.75" customHeigh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spans="1:26" ht="15.75" customHeigh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spans="1:26" ht="15.75" customHeigh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spans="1:26" ht="15.75" customHeigh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spans="1:26" ht="15.75" customHeigh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spans="1:26" ht="15.75" customHeigh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spans="1:26" ht="15.75" customHeigh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spans="1:26" ht="15.75" customHeigh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spans="1:26" ht="15.75" customHeigh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spans="1:26" ht="15.75" customHeigh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spans="1:26" ht="15.75" customHeigh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spans="1:26" ht="15.75" customHeigh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spans="1:26" ht="15.75" customHeigh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spans="1:26" ht="15.75" customHeigh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spans="1:26" ht="15.75" customHeigh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spans="1:26" ht="15.75" customHeigh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spans="1:26" ht="15.75" customHeigh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spans="1:26" ht="15.75" customHeigh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spans="1:26" ht="15.75" customHeigh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spans="1:26" ht="15.75" customHeigh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spans="1:26" ht="15.75" customHeigh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spans="1:26" ht="15.75" customHeigh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spans="1:26" ht="15.75" customHeigh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spans="1:26" ht="15.75" customHeigh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spans="1:26" ht="15.75" customHeigh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spans="1:26" ht="15.75" customHeigh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spans="1:26" ht="15.75" customHeigh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spans="1:26" ht="15.75" customHeigh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spans="1:26" ht="15.75" customHeigh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spans="1:26" ht="15.75" customHeigh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spans="1:26" ht="15.75" customHeigh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spans="1:26" ht="15.75" customHeigh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spans="1:26" ht="15.75" customHeigh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spans="1:26" ht="15.75" customHeigh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spans="1:26" ht="15.75" customHeigh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spans="1:26" ht="15.75" customHeigh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spans="1:26" ht="15.75" customHeigh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spans="1:26" ht="15.75" customHeigh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spans="1:26" ht="15.75" customHeigh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spans="1:26" ht="15.75" customHeigh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spans="1:26" ht="15.75" customHeigh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spans="1:26" ht="15.75" customHeigh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spans="1:26" ht="15.75" customHeigh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spans="1:26" ht="15.75" customHeigh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spans="1:26" ht="15.75" customHeigh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spans="1:26" ht="15.75" customHeigh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spans="1:26" ht="15.75" customHeigh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spans="1:26" ht="15.75" customHeigh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spans="1:26" ht="15.75" customHeigh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spans="1:26" ht="15.75" customHeigh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spans="1:26" ht="15.75" customHeigh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spans="1:26" ht="15.75" customHeigh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spans="1:26" ht="15.75" customHeigh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spans="1:26" ht="15.75" customHeigh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spans="1:26" ht="15.75" customHeigh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spans="1:26" ht="15.75" customHeigh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spans="1:26" ht="15.75" customHeigh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spans="1:26" ht="15.75" customHeigh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spans="1:26" ht="15.75" customHeigh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spans="1:26" ht="15.75" customHeigh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spans="1:26" ht="15.75" customHeigh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spans="1:26" ht="15.75" customHeigh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spans="1:26" ht="15.75" customHeigh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spans="1:26" ht="15.75" customHeigh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spans="1:26" ht="15.75" customHeigh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spans="1:26" ht="15.75" customHeigh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spans="1:26" ht="15.75" customHeigh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spans="1:26" ht="15.75" customHeigh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spans="1:26" ht="15.75" customHeigh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spans="1:26" ht="15.75" customHeigh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spans="1:26" ht="15.75" customHeigh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spans="1:26" ht="15.75" customHeigh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spans="1:26" ht="15.75" customHeigh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spans="1:26" ht="15.75" customHeigh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spans="1:26" ht="15.75" customHeigh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spans="1:26" ht="15.75" customHeigh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spans="1:26" ht="15.75" customHeigh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spans="1:26" ht="15.75" customHeigh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spans="1:26" ht="15.75" customHeigh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spans="1:26" ht="15.75" customHeigh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spans="1:26" ht="15.75" customHeigh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spans="1:26" ht="15.75" customHeigh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spans="1:26" ht="15.75" customHeigh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spans="1:26" ht="15.75" customHeigh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spans="1:26" ht="15.75" customHeigh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spans="1:26" ht="15.75" customHeigh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spans="1:26" ht="15.75" customHeigh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spans="1:26" ht="15.75" customHeigh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spans="1:26" ht="15.75" customHeigh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spans="1:26" ht="15.75" customHeigh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spans="1:26" ht="15.75" customHeigh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ht="15.75" customHeigh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spans="1:26" ht="15.75" customHeigh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spans="1:26" ht="15.75" customHeigh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spans="1:26" ht="15.75" customHeigh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spans="1:26" ht="15.75" customHeigh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spans="1:26" ht="15.75" customHeigh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spans="1:26" ht="15.75" customHeigh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spans="1:26" ht="15.75" customHeigh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spans="1:26" ht="15.75" customHeigh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spans="1:26" ht="15.75" customHeigh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spans="1:26" ht="15.75" customHeigh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spans="1:26" ht="15.75" customHeigh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spans="1:26" ht="15.75" customHeigh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spans="1:26" ht="15.75" customHeigh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ht="15.75" customHeigh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spans="1:26" ht="15.75" customHeigh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spans="1:26" ht="15.75" customHeigh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spans="1:26" ht="15.75" customHeigh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spans="1:26" ht="15.75" customHeigh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spans="1:26" ht="15.75" customHeigh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spans="1:26" ht="15.75" customHeigh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spans="1:26" ht="15.75" customHeigh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spans="1:26" ht="15.75" customHeigh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spans="1:26" ht="15.75" customHeigh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spans="1:26" ht="15.75" customHeigh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spans="1:26" ht="15.75" customHeigh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spans="1:26" ht="15.75" customHeigh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5.75" customHeigh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spans="1:26" ht="15.75" customHeigh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spans="1:26" ht="15.75" customHeigh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spans="1:26" ht="15.75" customHeigh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spans="1:26" ht="15.75" customHeigh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spans="1:26" ht="15.75" customHeigh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spans="1:26" ht="15.75" customHeigh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spans="1:26" ht="15.75" customHeigh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spans="1:26" ht="15.75" customHeigh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spans="1:26" ht="15.75" customHeigh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spans="1:26" ht="15.75" customHeigh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spans="1:26" ht="15.75" customHeigh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spans="1:26" ht="15.75" customHeigh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spans="1:26" ht="15.75" customHeigh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spans="1:26" ht="15.75" customHeigh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spans="1:26" ht="15.75" customHeigh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spans="1:26" ht="15.75" customHeigh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spans="1:26" ht="15.75" customHeigh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spans="1:26" ht="15.75" customHeigh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spans="1:26" ht="15.75" customHeigh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spans="1:26" ht="15.75" customHeigh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spans="1:26" ht="15.75" customHeigh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spans="1:26" ht="15.75" customHeigh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spans="1:26" ht="15.75" customHeigh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spans="1:26" ht="15.75" customHeigh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spans="1:26" ht="15.75" customHeigh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spans="1:26" ht="15.75" customHeigh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spans="1:26" ht="15.75" customHeigh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spans="1:26" ht="15.75" customHeigh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spans="1:26" ht="15.75" customHeigh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spans="1:26" ht="15.75" customHeigh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spans="1:26" ht="15.75" customHeigh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spans="1:26" ht="15.75" customHeigh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spans="1:26" ht="15.75" customHeigh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spans="1:26" ht="15.75" customHeigh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spans="1:26" ht="15.75" customHeigh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spans="1:26" ht="15.75" customHeigh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spans="1:26" ht="15.75" customHeigh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spans="1:26" ht="15.75" customHeigh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spans="1:26" ht="15.75" customHeigh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spans="1:26" ht="15.75" customHeigh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spans="1:26" ht="15.75" customHeigh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spans="1:26" ht="15.75" customHeigh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spans="1:26" ht="15.75" customHeigh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spans="1:26" ht="15.75" customHeigh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spans="1:26" ht="15.75" customHeigh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spans="1:26" ht="15.75" customHeigh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spans="1:26" ht="15.75" customHeigh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spans="1:26" ht="15.75" customHeigh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spans="1:26" ht="15.75" customHeigh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spans="1:26" ht="15.75" customHeigh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spans="1:26" ht="15.75" customHeigh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spans="1:26" ht="15.75" customHeigh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spans="1:26" ht="15.75" customHeigh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spans="1:26" ht="15.75" customHeigh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spans="1:26" ht="15.75" customHeigh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spans="1:26" ht="15.75" customHeigh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spans="1:26" ht="15.75" customHeigh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spans="1:26" ht="15.75" customHeigh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spans="1:26" ht="15.75" customHeigh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spans="1:26" ht="15.75" customHeigh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spans="1:26" ht="15.75" customHeigh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spans="1:26" ht="15.75" customHeigh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spans="1:26" ht="15.75" customHeigh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spans="1:26" ht="15.75" customHeigh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spans="1:26" ht="15.75" customHeigh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spans="1:26" ht="15.75" customHeigh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spans="1:26" ht="15.75" customHeigh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spans="1:26" ht="15.75" customHeigh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spans="1:26" ht="15.75" customHeigh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spans="1:26" ht="15.75" customHeigh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spans="1:26" ht="15.75" customHeigh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spans="1:26" ht="15.75" customHeigh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spans="1:26" ht="15.75" customHeigh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spans="1:26" ht="15.75" customHeigh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spans="1:26" ht="15.75" customHeigh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spans="1:26" ht="15.75" customHeigh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spans="1:26" ht="15.75" customHeigh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spans="1:26" ht="15.75" customHeigh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spans="1:26" ht="15.75" customHeigh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spans="1:26" ht="15.75" customHeigh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spans="1:26" ht="15.75" customHeigh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spans="1:26" ht="15.75" customHeigh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spans="1:26" ht="15.75" customHeigh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spans="1:26" ht="15.75" customHeigh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spans="1:26" ht="15.75" customHeigh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spans="1:26" ht="15.75" customHeigh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spans="1:26" ht="15.75" customHeigh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spans="1:26" ht="15.75" customHeigh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spans="1:26" ht="15.75" customHeigh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spans="1:26" ht="15.75" customHeigh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spans="1:26" ht="15.75" customHeigh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spans="1:26" ht="15.75" customHeigh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spans="1:26" ht="15.75" customHeigh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spans="1:26" ht="15.75" customHeigh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spans="1:26" ht="15.75" customHeigh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spans="1:26" ht="15.75" customHeigh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spans="1:26" ht="15.75" customHeigh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spans="1:26" ht="15.75" customHeigh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spans="1:26" ht="15.75" customHeigh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spans="1:26" ht="15.75" customHeigh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spans="1:26" ht="15.75" customHeigh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spans="1:26" ht="15.75" customHeigh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spans="1:26" ht="15.75" customHeigh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spans="1:26" ht="15.75" customHeigh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spans="1:26" ht="15.75" customHeigh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spans="1:26" ht="15.75" customHeigh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spans="1:26" ht="15.75" customHeigh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spans="1:26" ht="15.75" customHeigh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spans="1:26" ht="15.75" customHeigh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spans="1:26" ht="15.75" customHeigh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spans="1:26" ht="15.75" customHeigh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spans="1:26" ht="15.75" customHeigh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spans="1:26" ht="15.75" customHeigh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spans="1:26" ht="15.75" customHeigh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spans="1:26" ht="15.75" customHeigh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spans="1:26" ht="15.75" customHeigh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spans="1:26" ht="15.75" customHeigh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spans="1:26" ht="15.75" customHeigh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spans="1:26" ht="15.75" customHeigh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spans="1:26" ht="15.75" customHeigh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spans="1:26" ht="15.75" customHeigh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spans="1:26" ht="15.75" customHeigh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spans="1:26" ht="15.75" customHeigh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spans="1:26" ht="15.75" customHeigh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spans="1:26" ht="15.75" customHeigh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spans="1:26" ht="15.75" customHeigh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spans="1:26" ht="15.75" customHeigh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spans="1:26" ht="15.75" customHeigh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spans="1:26" ht="15.75" customHeigh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spans="1:26" ht="15.75" customHeigh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spans="1:26" ht="15.75" customHeigh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spans="1:26" ht="15.75" customHeigh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spans="1:26" ht="15.75" customHeigh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spans="1:26" ht="15.75" customHeigh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spans="1:26" ht="15.75" customHeigh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spans="1:26" ht="15.75" customHeigh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spans="1:26" ht="15.75" customHeigh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spans="1:26" ht="15.75" customHeigh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spans="1:26" ht="15.75" customHeigh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spans="1:26" ht="15.75" customHeigh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spans="1:26" ht="15.75" customHeigh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spans="1:26" ht="15.75" customHeigh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spans="1:26" ht="15.75" customHeigh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spans="1:26" ht="15.75" customHeigh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spans="1:26" ht="15.75" customHeigh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spans="1:26" ht="15.75" customHeigh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spans="1:26" ht="15.75" customHeigh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spans="1:26" ht="15.75" customHeigh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spans="1:26" ht="15.75" customHeigh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spans="1:26" ht="15.75" customHeigh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spans="1:26" ht="15.75" customHeigh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spans="1:26" ht="15.75" customHeigh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spans="1:26" ht="15.75" customHeigh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spans="1:26" ht="15.75" customHeigh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spans="1:26" ht="15.75" customHeigh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spans="1:26" ht="15.75" customHeigh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spans="1:26" ht="15.75" customHeigh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spans="1:26" ht="15.75" customHeigh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spans="1:26" ht="15.75" customHeigh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spans="1:26" ht="15.75" customHeigh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spans="1:26" ht="15.75" customHeigh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spans="1:26" ht="15.75" customHeigh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spans="1:26" ht="15.75" customHeigh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spans="1:26" ht="15.75" customHeigh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spans="1:26" ht="15.75" customHeigh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spans="1:26" ht="15.75" customHeigh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spans="1:26" ht="15.75" customHeigh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spans="1:26" ht="15.75" customHeigh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spans="1:26" ht="15.75" customHeigh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spans="1:26" ht="15.75" customHeigh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spans="1:26" ht="15.75" customHeigh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spans="1:26" ht="15.75" customHeigh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spans="1:26" ht="15.75" customHeigh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spans="1:26" ht="15.75" customHeigh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spans="1:26" ht="15.75" customHeigh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spans="1:26" ht="15.75" customHeigh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spans="1:26" ht="15.75" customHeigh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spans="1:26" ht="15.75" customHeigh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spans="1:26" ht="15.75" customHeigh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spans="1:26" ht="15.75" customHeigh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spans="1:26" ht="15.75" customHeigh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spans="1:26" ht="15.75" customHeigh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spans="1:26" ht="15.75" customHeigh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spans="1:26" ht="15.75" customHeigh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spans="1:26" ht="15.75" customHeigh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spans="1:26" ht="15.75" customHeigh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spans="1:26" ht="15.75" customHeigh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spans="1:26" ht="15.75" customHeigh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spans="1:26" ht="15.75" customHeigh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spans="1:26" ht="15.75" customHeigh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spans="1:26" ht="15.75" customHeigh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spans="1:26" ht="15.75" customHeigh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spans="1:26" ht="15.75" customHeigh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spans="1:26" ht="15.75" customHeigh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spans="1:26" ht="15.75" customHeigh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spans="1:26" ht="15.75" customHeigh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spans="1:26" ht="15.75" customHeigh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spans="1:26" ht="15.75" customHeigh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spans="1:26" ht="15.75" customHeigh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spans="1:26" ht="15.75" customHeigh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spans="1:26" ht="15.75" customHeigh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spans="1:26" ht="15.75" customHeigh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spans="1:26" ht="15.75" customHeigh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spans="1:26" ht="15.75" customHeigh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spans="1:26" ht="15.75" customHeigh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spans="1:26" ht="15.75" customHeigh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spans="1:26" ht="15.75" customHeigh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spans="1:26" ht="15.75" customHeigh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spans="1:26" ht="15.75" customHeigh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spans="1:26" ht="15.75" customHeigh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spans="1:26" ht="15.75" customHeigh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spans="1:26" ht="15.75" customHeigh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spans="1:26" ht="15.75" customHeigh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spans="1:26" ht="15.75" customHeigh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spans="1:26" ht="15.75" customHeigh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spans="1:26" ht="15.75" customHeigh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spans="1:26" ht="15.75" customHeigh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spans="1:26" ht="15.75" customHeigh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spans="1:26" ht="15.75" customHeigh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spans="1:26" ht="15.75" customHeigh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spans="1:26" ht="15.75" customHeigh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spans="1:26" ht="15.75" customHeigh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spans="1:26" ht="15.75" customHeigh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spans="1:26" ht="15.75" customHeigh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spans="1:26" ht="15.75" customHeigh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spans="1:26" ht="15.75" customHeigh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spans="1:26" ht="15.75" customHeigh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spans="1:26" ht="15.75" customHeigh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spans="1:26" ht="15.75" customHeigh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spans="1:26" ht="15.75" customHeigh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spans="1:26" ht="15.75" customHeigh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spans="1:26" ht="15.75" customHeigh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spans="1:26" ht="15.75" customHeigh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spans="1:26" ht="15.75" customHeigh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spans="1:26" ht="15.75" customHeigh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spans="1:26" ht="15.75" customHeigh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spans="1:26" ht="15.75" customHeigh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spans="1:26" ht="15.75" customHeigh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spans="1:26" ht="15.75" customHeigh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spans="1:26" ht="15.75" customHeigh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spans="1:26" ht="15.75" customHeigh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spans="1:26" ht="15.75" customHeigh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spans="1:26" ht="15.75" customHeigh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spans="1:26" ht="15.75" customHeigh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spans="1:26" ht="15.75" customHeigh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spans="1:26" ht="15.75" customHeigh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spans="1:26" ht="15.75" customHeigh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spans="1:26" ht="15.75" customHeigh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spans="1:26" ht="15.75" customHeigh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spans="1:26" ht="15.75" customHeigh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spans="1:26" ht="15.75" customHeigh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spans="1:26" ht="15.75" customHeigh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spans="1:26" ht="15.75" customHeigh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spans="1:26" ht="15.75" customHeigh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spans="1:26" ht="15.75" customHeigh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spans="1:26" ht="15.75" customHeigh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spans="1:26" ht="15.75" customHeigh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spans="1:26" ht="15.75" customHeigh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spans="1:26" ht="15.75" customHeigh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spans="1:26" ht="15.75" customHeigh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spans="1:26" ht="15.75" customHeigh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spans="1:26" ht="15.75" customHeigh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spans="1:26" ht="15.75" customHeigh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spans="1:26" ht="15.75" customHeigh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spans="1:26" ht="15.75" customHeigh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spans="1:26" ht="15.75" customHeigh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spans="1:26" ht="15.75" customHeigh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spans="1:26" ht="15.75" customHeigh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spans="1:26" ht="15.75" customHeigh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spans="1:26" ht="15.75" customHeigh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spans="1:26" ht="15.75" customHeigh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spans="1:26" ht="15.75" customHeigh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spans="1:26" ht="15.75" customHeigh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spans="1:26" ht="15.75" customHeigh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spans="1:26" ht="15.75" customHeigh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spans="1:26" ht="15.75" customHeigh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spans="1:26" ht="15.75" customHeigh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spans="1:26" ht="15.75" customHeigh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spans="1:26" ht="15.75" customHeigh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spans="1:26" ht="15.75" customHeigh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spans="1:26" ht="15.75" customHeigh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spans="1:26" ht="15.75" customHeigh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spans="1:26" ht="15.75" customHeigh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spans="1:26" ht="15.75" customHeigh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spans="1:26" ht="15.75" customHeigh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spans="1:26" ht="15.75" customHeigh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spans="1:26" ht="15.75" customHeigh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spans="1:26" ht="15.75" customHeigh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spans="1:26" ht="15.75" customHeigh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spans="1:26" ht="15.75" customHeigh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spans="1:26" ht="15.75" customHeigh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spans="1:26" ht="15.75" customHeigh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spans="1:26" ht="15.75" customHeigh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spans="1:26" ht="15.75" customHeigh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spans="1:26" ht="15.75" customHeigh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spans="1:26" ht="15.75" customHeigh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spans="1:26" ht="15.75" customHeigh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spans="1:26" ht="15.75" customHeigh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spans="1:26" ht="15.75" customHeigh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spans="1:26" ht="15.75" customHeigh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spans="1:26" ht="15.75" customHeigh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spans="1:26" ht="15.75" customHeigh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spans="1:26" ht="15.75" customHeigh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spans="1:26" ht="15.75" customHeigh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spans="1:26" ht="15.75" customHeigh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spans="1:26" ht="15.75" customHeigh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spans="1:26" ht="15.75" customHeigh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spans="1:26" ht="15.75" customHeigh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spans="1:26" ht="15.75" customHeigh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spans="1:26" ht="15.75" customHeigh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spans="1:26" ht="15.75" customHeigh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spans="1:26" ht="15.75" customHeigh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spans="1:26" ht="15.75" customHeigh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spans="1:26" ht="15.75" customHeigh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spans="1:26" ht="15.75" customHeigh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spans="1:26" ht="15.75" customHeigh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spans="1:26" ht="15.75" customHeigh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spans="1:26" ht="15.75" customHeigh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spans="1:26" ht="15.75" customHeigh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spans="1:26" ht="15.75" customHeigh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spans="1:26" ht="15.75" customHeigh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spans="1:26" ht="15.75" customHeigh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spans="1:26" ht="15.75" customHeigh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spans="1:26" ht="15.75" customHeigh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spans="1:26" ht="15.75" customHeigh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spans="1:26" ht="15.75" customHeigh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spans="1:26" ht="15.75" customHeigh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spans="1:26" ht="15.75" customHeigh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spans="1:26" ht="15.75" customHeigh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spans="1:26" ht="15.75" customHeigh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spans="1:26" ht="15.75" customHeigh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spans="1:26" ht="15.75" customHeigh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spans="1:26" ht="15.75" customHeigh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spans="1:26" ht="15.75" customHeigh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spans="1:26" ht="15.75" customHeigh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spans="1:26" ht="15.75" customHeigh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spans="1:26" ht="15.75" customHeigh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spans="1:26" ht="15.75" customHeigh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spans="1:26" ht="15.75" customHeigh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spans="1:26" ht="15.75" customHeigh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spans="1:26" ht="15.75" customHeigh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spans="1:26" ht="15.75" customHeigh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spans="1:26" ht="15.75" customHeigh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spans="1:26" ht="15.75" customHeigh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spans="1:26" ht="15.75" customHeigh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spans="1:26" ht="15.75" customHeigh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spans="1:26" ht="15.75" customHeigh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spans="1:26" ht="15.75" customHeigh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spans="1:26" ht="15.75" customHeigh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spans="1:26" ht="15.75" customHeigh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spans="1:26" ht="15.75" customHeigh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spans="1:26" ht="15.75" customHeigh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spans="1:26" ht="15.75" customHeigh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spans="1:26" ht="15.75" customHeigh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spans="1:26" ht="15.75" customHeigh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spans="1:26" ht="15.75" customHeigh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spans="1:26" ht="15.75" customHeigh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spans="1:26" ht="15.75" customHeigh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spans="1:26" ht="15.75" customHeigh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spans="1:26" ht="15.75" customHeigh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spans="1:26" ht="15.75" customHeigh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spans="1:26" ht="15.75" customHeigh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15.75" customHeigh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15.75" customHeigh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15.75" customHeigh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15.75" customHeigh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15.75" customHeigh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15.75" customHeigh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15.75" customHeigh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15.75" customHeigh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15.75" customHeigh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15.75" customHeigh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15.75" customHeigh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15.75" customHeigh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15.75" customHeigh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15.75" customHeigh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15.75" customHeigh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15.75" customHeigh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15.75" customHeigh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15.75" customHeigh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15.75" customHeigh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15.75" customHeigh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15.75" customHeigh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15.75" customHeigh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spans="1:26" ht="15.75" customHeigh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spans="1:26" ht="15.75" customHeigh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spans="1:26" ht="15.75" customHeigh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spans="1:26" ht="15.75" customHeigh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spans="1:26" ht="15.75" customHeigh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spans="1:26" ht="15.75" customHeigh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spans="1:26" ht="15.75" customHeigh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spans="1:26" ht="15.75" customHeigh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spans="1:26" ht="15.75" customHeigh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spans="1:26" ht="15.75" customHeigh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spans="1:26" ht="15.75" customHeigh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spans="1:26" ht="15.75" customHeigh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spans="1:26" ht="15.75" customHeigh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spans="1:26" ht="15.75" customHeigh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spans="1:26" ht="15.75" customHeigh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spans="1:26" ht="15.75" customHeigh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spans="1:26" ht="15.75" customHeigh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spans="1:26" ht="15.75" customHeigh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spans="1:26" ht="15.75" customHeigh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spans="1:26" ht="15.75" customHeigh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spans="1:26" ht="15.75" customHeigh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spans="1:26" ht="15.75" customHeigh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spans="1:26" ht="15.75" customHeigh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spans="1:26" ht="15.75" customHeigh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spans="1:26" ht="15.75" customHeigh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spans="1:26" ht="15.75" customHeigh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spans="1:26" ht="15.75" customHeigh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spans="1:26" ht="15.75" customHeigh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spans="1:26" ht="15.75" customHeigh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spans="1:26" ht="15.75" customHeigh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spans="1:26" ht="15.75" customHeigh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spans="1:26" ht="15.75" customHeigh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spans="1:26" ht="15.75" customHeigh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spans="1:26" ht="15.75" customHeigh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spans="1:26" ht="15.75" customHeigh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spans="1:26" ht="15.75" customHeigh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15.75" customHeigh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15.75" customHeigh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15.75" customHeigh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15.75" customHeigh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15.75" customHeigh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15.75" customHeigh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15.75" customHeigh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15.75" customHeigh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15.75" customHeigh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15.75" customHeigh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15.75" customHeigh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15.75" customHeigh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15.75" customHeigh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15.75" customHeigh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15.75" customHeigh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15.75" customHeigh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15.75" customHeigh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15.75" customHeigh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15.75" customHeigh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15.75" customHeigh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15.75" customHeigh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15.75" customHeigh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15.75" customHeigh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15.75" customHeigh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15.75" customHeigh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15.75" customHeigh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15.75" customHeigh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15.75" customHeigh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15.75" customHeigh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15.75" customHeigh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15.75" customHeigh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15.75" customHeigh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15.75" customHeigh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15.75" customHeigh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15.75" customHeigh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15.75" customHeigh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spans="1:26" ht="15.75" customHeigh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spans="1:26" ht="15.75" customHeigh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spans="1:26" ht="15.75" customHeigh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spans="1:26" ht="15.75" customHeigh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spans="1:26" ht="15.75" customHeigh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spans="1:26" ht="15.75" customHeigh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spans="1:26" ht="15.75" customHeigh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spans="1:26" ht="15.75" customHeigh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spans="1:26" ht="15.75" customHeigh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spans="1:26" ht="15.75" customHeigh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spans="1:26" ht="15.75" customHeigh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spans="1:26" ht="15.75" customHeigh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spans="1:26" ht="15.75" customHeigh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spans="1:26" ht="15.75" customHeigh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spans="1:26" ht="15.75" customHeigh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spans="1:26" ht="15.75" customHeigh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spans="1:26" ht="15.75" customHeigh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spans="1:26" ht="15.75" customHeigh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spans="1:26" ht="15.75" customHeigh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spans="1:26" ht="15.75" customHeigh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spans="1:26" ht="15.75" customHeigh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spans="1:26" ht="15.75" customHeigh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spans="1:26" ht="15.75" customHeigh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spans="1:26" ht="15.75" customHeigh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spans="1:26" ht="15.75" customHeigh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spans="1:26" ht="15.75" customHeigh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spans="1:26" ht="15.75" customHeigh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spans="1:26" ht="15.75" customHeigh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spans="1:26" ht="15.75" customHeigh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spans="1:26" ht="15.75" customHeigh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spans="1:26" ht="15.75" customHeigh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spans="1:26" ht="15.75" customHeigh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spans="1:26" ht="15.75" customHeigh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spans="1:26" ht="15.75" customHeigh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spans="1:26" ht="15.75" customHeigh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spans="1:26" ht="15.75" customHeigh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spans="1:26" ht="15.75" customHeigh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spans="1:26" ht="15.75" customHeigh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spans="1:26" ht="15.75" customHeigh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spans="1:26" ht="15.75" customHeigh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spans="1:26" ht="15.75" customHeigh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spans="1:26" ht="15.75" customHeigh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spans="1:26" ht="15.75" customHeigh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spans="1:26" ht="15.75" customHeigh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spans="1:26" ht="15.75" customHeigh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spans="1:26" ht="15.75" customHeigh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spans="1:26" ht="15.75" customHeigh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spans="1:26" ht="15.75" customHeigh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spans="1:26" ht="15.75" customHeigh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spans="1:26" ht="15.75" customHeigh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spans="1:26" ht="15.75" customHeigh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spans="1:26" ht="15.75" customHeigh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spans="1:26" ht="15.75" customHeigh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spans="1:26" ht="15.75" customHeigh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spans="1:26" ht="15.75" customHeigh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spans="1:26" ht="15.75" customHeigh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spans="1:26" ht="15.75" customHeigh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spans="1:26" ht="15.75" customHeigh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spans="1:26" ht="15.75" customHeigh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spans="1:26" ht="15.75" customHeigh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spans="1:26" ht="15.75" customHeigh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spans="1:26" ht="15.75" customHeigh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spans="1:26" ht="15.75" customHeigh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spans="1:26" ht="15.75" customHeigh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spans="1:26" ht="15.75" customHeigh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spans="1:26" ht="15.75" customHeigh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spans="1:26" ht="15.75" customHeigh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spans="1:26" ht="15.75" customHeigh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spans="1:26" ht="15.75" customHeigh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spans="1:26" ht="15.75" customHeigh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spans="1:26" ht="15.75" customHeigh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spans="1:26" ht="15.75" customHeigh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spans="1:26" ht="15.75" customHeigh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spans="1:26" ht="15.75" customHeigh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spans="1:26" ht="15.75" customHeigh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spans="1:26" ht="15.75" customHeigh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spans="1:26" ht="15.75" customHeigh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spans="1:26" ht="15.75" customHeigh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spans="1:26" ht="15.75" customHeigh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spans="1:26" ht="15.75" customHeigh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spans="1:26" ht="15.75" customHeigh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spans="1:26" ht="15.75" customHeigh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spans="1:26" ht="15.75" customHeigh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spans="1:26" ht="15.75" customHeigh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spans="1:26" ht="15.75" customHeigh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</sheetData>
  <mergeCells count="70">
    <mergeCell ref="K37:L37"/>
    <mergeCell ref="M37:N37"/>
    <mergeCell ref="A37:A38"/>
    <mergeCell ref="A42:A43"/>
    <mergeCell ref="B42:B43"/>
    <mergeCell ref="C42:D42"/>
    <mergeCell ref="E42:F42"/>
    <mergeCell ref="G42:H42"/>
    <mergeCell ref="I42:J42"/>
    <mergeCell ref="K42:L42"/>
    <mergeCell ref="M42:N42"/>
    <mergeCell ref="B37:B38"/>
    <mergeCell ref="C37:D37"/>
    <mergeCell ref="E37:F37"/>
    <mergeCell ref="G37:H37"/>
    <mergeCell ref="I37:J37"/>
    <mergeCell ref="K58:L58"/>
    <mergeCell ref="M58:N58"/>
    <mergeCell ref="A58:A59"/>
    <mergeCell ref="A70:A71"/>
    <mergeCell ref="B70:B71"/>
    <mergeCell ref="C70:D70"/>
    <mergeCell ref="E70:F70"/>
    <mergeCell ref="G70:H70"/>
    <mergeCell ref="I70:J70"/>
    <mergeCell ref="K70:L70"/>
    <mergeCell ref="M70:N70"/>
    <mergeCell ref="B58:B59"/>
    <mergeCell ref="C58:D58"/>
    <mergeCell ref="E58:F58"/>
    <mergeCell ref="G58:H58"/>
    <mergeCell ref="I58:J58"/>
    <mergeCell ref="K85:L85"/>
    <mergeCell ref="M85:N85"/>
    <mergeCell ref="A93:F93"/>
    <mergeCell ref="A95:G95"/>
    <mergeCell ref="A96:G96"/>
    <mergeCell ref="I85:J85"/>
    <mergeCell ref="A97:G97"/>
    <mergeCell ref="A81:A82"/>
    <mergeCell ref="A85:A86"/>
    <mergeCell ref="B85:B86"/>
    <mergeCell ref="C85:D85"/>
    <mergeCell ref="E85:F85"/>
    <mergeCell ref="G85:H85"/>
    <mergeCell ref="K3:L3"/>
    <mergeCell ref="M3:N3"/>
    <mergeCell ref="A1:N1"/>
    <mergeCell ref="A3:A4"/>
    <mergeCell ref="B3:B4"/>
    <mergeCell ref="C3:D3"/>
    <mergeCell ref="E3:F3"/>
    <mergeCell ref="G3:H3"/>
    <mergeCell ref="I3:J3"/>
    <mergeCell ref="K14:L14"/>
    <mergeCell ref="M14:N14"/>
    <mergeCell ref="K24:L24"/>
    <mergeCell ref="M24:N24"/>
    <mergeCell ref="A14:A15"/>
    <mergeCell ref="A24:A25"/>
    <mergeCell ref="B24:B25"/>
    <mergeCell ref="C24:D24"/>
    <mergeCell ref="E24:F24"/>
    <mergeCell ref="G24:H24"/>
    <mergeCell ref="I24:J24"/>
    <mergeCell ref="B14:B15"/>
    <mergeCell ref="C14:D14"/>
    <mergeCell ref="E14:F14"/>
    <mergeCell ref="G14:H14"/>
    <mergeCell ref="I14:J14"/>
  </mergeCells>
  <pageMargins left="0.7" right="0.7" top="0.75" bottom="0.75" header="0" footer="0"/>
  <pageSetup paperSize="9" scale="86" fitToHeight="0" orientation="landscape" r:id="rId1"/>
  <rowBreaks count="4" manualBreakCount="4">
    <brk id="13" max="16383" man="1"/>
    <brk id="23" max="16383" man="1"/>
    <brk id="36" max="16383" man="1"/>
    <brk id="6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000"/>
  <sheetViews>
    <sheetView view="pageBreakPreview" topLeftCell="A85" zoomScale="60" zoomScaleNormal="100" workbookViewId="0"/>
  </sheetViews>
  <sheetFormatPr defaultColWidth="14.42578125" defaultRowHeight="15" customHeight="1"/>
  <cols>
    <col min="1" max="26" width="8.7109375" customWidth="1"/>
  </cols>
  <sheetData>
    <row r="1" spans="1:1">
      <c r="A1" s="54" t="s">
        <v>213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spans="1:6" ht="15.75" customHeight="1"/>
    <row r="34" spans="1:6" ht="15.75" customHeight="1"/>
    <row r="35" spans="1:6" ht="15.75" customHeight="1"/>
    <row r="36" spans="1:6" ht="15.75" customHeight="1"/>
    <row r="37" spans="1:6" ht="15.75" customHeight="1"/>
    <row r="38" spans="1:6" ht="15.75" customHeight="1"/>
    <row r="39" spans="1:6" ht="15.75" customHeight="1">
      <c r="A39" s="239" t="s">
        <v>214</v>
      </c>
      <c r="B39" s="209"/>
      <c r="C39" s="209"/>
      <c r="D39" s="209"/>
      <c r="E39" s="209"/>
      <c r="F39" s="209"/>
    </row>
    <row r="40" spans="1:6" ht="15.75" customHeight="1">
      <c r="A40" s="158"/>
      <c r="B40" s="158"/>
      <c r="C40" s="158"/>
      <c r="D40" s="158"/>
      <c r="E40" s="158"/>
      <c r="F40" s="158"/>
    </row>
    <row r="41" spans="1:6" ht="15.75" customHeight="1">
      <c r="A41" s="54" t="s">
        <v>215</v>
      </c>
    </row>
    <row r="42" spans="1:6" ht="15.75" customHeight="1"/>
    <row r="43" spans="1:6" ht="15.75" customHeight="1"/>
    <row r="44" spans="1:6" ht="15.75" customHeight="1"/>
    <row r="45" spans="1:6" ht="15.75" customHeight="1"/>
    <row r="46" spans="1:6" ht="15.75" customHeight="1"/>
    <row r="47" spans="1:6" ht="15.75" customHeight="1"/>
    <row r="48" spans="1:6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spans="1:6" ht="15.75" customHeight="1"/>
    <row r="66" spans="1:6" ht="15.75" customHeight="1"/>
    <row r="67" spans="1:6" ht="15.75" customHeight="1"/>
    <row r="68" spans="1:6" ht="15.75" customHeight="1"/>
    <row r="69" spans="1:6" ht="15.75" customHeight="1"/>
    <row r="70" spans="1:6" ht="15.75" customHeight="1"/>
    <row r="71" spans="1:6" ht="15.75" customHeight="1"/>
    <row r="72" spans="1:6" ht="15.75" customHeight="1"/>
    <row r="73" spans="1:6" ht="15.75" customHeight="1"/>
    <row r="74" spans="1:6" ht="15.75" customHeight="1"/>
    <row r="75" spans="1:6" ht="15.75" customHeight="1"/>
    <row r="76" spans="1:6" ht="15.75" customHeight="1"/>
    <row r="77" spans="1:6" ht="15.75" customHeight="1"/>
    <row r="78" spans="1:6" ht="15.75" customHeight="1"/>
    <row r="79" spans="1:6" ht="15.75" customHeight="1"/>
    <row r="80" spans="1:6" ht="15.75" customHeight="1">
      <c r="A80" s="239" t="s">
        <v>214</v>
      </c>
      <c r="B80" s="209"/>
      <c r="C80" s="209"/>
      <c r="D80" s="209"/>
      <c r="E80" s="209"/>
      <c r="F80" s="209"/>
    </row>
    <row r="81" spans="1:1" ht="15.75" customHeight="1"/>
    <row r="82" spans="1:1" ht="15.75" customHeight="1">
      <c r="A82" s="54" t="s">
        <v>216</v>
      </c>
    </row>
    <row r="83" spans="1:1" ht="15.75" customHeight="1"/>
    <row r="84" spans="1:1" ht="15.75" customHeight="1"/>
    <row r="85" spans="1:1" ht="15.75" customHeight="1"/>
    <row r="86" spans="1:1" ht="15.75" customHeight="1"/>
    <row r="87" spans="1:1" ht="15.75" customHeight="1"/>
    <row r="88" spans="1:1" ht="15.75" customHeight="1"/>
    <row r="89" spans="1:1" ht="15.75" customHeight="1"/>
    <row r="90" spans="1:1" ht="15.75" customHeight="1"/>
    <row r="91" spans="1:1" ht="15.75" customHeight="1"/>
    <row r="92" spans="1:1" ht="15.75" customHeight="1"/>
    <row r="93" spans="1:1" ht="15.75" customHeight="1"/>
    <row r="94" spans="1:1" ht="15.75" customHeight="1"/>
    <row r="95" spans="1:1" ht="15.75" customHeight="1"/>
    <row r="96" spans="1:1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spans="1:6" ht="15.75" customHeight="1"/>
    <row r="114" spans="1:6" ht="15.75" customHeight="1"/>
    <row r="115" spans="1:6" ht="15.75" customHeight="1"/>
    <row r="116" spans="1:6" ht="15.75" customHeight="1"/>
    <row r="117" spans="1:6" ht="15.75" customHeight="1"/>
    <row r="118" spans="1:6" ht="15.75" customHeight="1"/>
    <row r="119" spans="1:6" ht="15.75" customHeight="1"/>
    <row r="120" spans="1:6" ht="15.75" customHeight="1"/>
    <row r="121" spans="1:6" ht="15.75" customHeight="1">
      <c r="A121" s="239" t="s">
        <v>214</v>
      </c>
      <c r="B121" s="209"/>
      <c r="C121" s="209"/>
      <c r="D121" s="209"/>
      <c r="E121" s="209"/>
      <c r="F121" s="209"/>
    </row>
    <row r="122" spans="1:6" ht="15.75" customHeight="1"/>
    <row r="123" spans="1:6" ht="15.75" customHeight="1"/>
    <row r="124" spans="1:6" ht="15.75" customHeight="1"/>
    <row r="125" spans="1:6" ht="15.75" customHeight="1"/>
    <row r="126" spans="1:6" ht="15.75" customHeight="1"/>
    <row r="127" spans="1:6" ht="15.75" customHeight="1"/>
    <row r="128" spans="1:6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39:F39"/>
    <mergeCell ref="A80:F80"/>
    <mergeCell ref="A121:F121"/>
  </mergeCells>
  <pageMargins left="0.7" right="0.7" top="0.75" bottom="0.75" header="0" footer="0"/>
  <pageSetup paperSize="9" scale="61" orientation="portrait" r:id="rId1"/>
  <rowBreaks count="1" manualBreakCount="1">
    <brk id="8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D1:I1002"/>
  <sheetViews>
    <sheetView view="pageBreakPreview" topLeftCell="A85" zoomScale="60" zoomScaleNormal="100" workbookViewId="0"/>
  </sheetViews>
  <sheetFormatPr defaultColWidth="14.42578125" defaultRowHeight="15" customHeight="1"/>
  <cols>
    <col min="1" max="3" width="8.7109375" customWidth="1"/>
    <col min="4" max="4" width="12" customWidth="1"/>
    <col min="5" max="26" width="8.7109375" customWidth="1"/>
  </cols>
  <sheetData>
    <row r="1" spans="4:4">
      <c r="D1" s="54" t="s">
        <v>217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spans="4:9" ht="15.75" customHeight="1"/>
    <row r="34" spans="4:9" ht="15.75" customHeight="1"/>
    <row r="35" spans="4:9" ht="15.75" customHeight="1"/>
    <row r="36" spans="4:9" ht="15.75" customHeight="1"/>
    <row r="37" spans="4:9" ht="15.75" customHeight="1"/>
    <row r="38" spans="4:9" ht="15.75" customHeight="1"/>
    <row r="39" spans="4:9" ht="22.5" customHeight="1">
      <c r="D39" s="239" t="s">
        <v>214</v>
      </c>
      <c r="E39" s="209"/>
      <c r="F39" s="209"/>
      <c r="G39" s="209"/>
      <c r="H39" s="209"/>
      <c r="I39" s="209"/>
    </row>
    <row r="40" spans="4:9" ht="22.5" customHeight="1">
      <c r="D40" s="158"/>
      <c r="E40" s="158"/>
      <c r="F40" s="158"/>
      <c r="G40" s="158"/>
      <c r="H40" s="158"/>
      <c r="I40" s="158"/>
    </row>
    <row r="41" spans="4:9" ht="15.75" customHeight="1">
      <c r="D41" s="239" t="s">
        <v>218</v>
      </c>
      <c r="E41" s="209"/>
      <c r="F41" s="209"/>
      <c r="G41" s="209"/>
      <c r="H41" s="209"/>
      <c r="I41" s="209"/>
    </row>
    <row r="42" spans="4:9" ht="15.75" customHeight="1">
      <c r="D42" s="54"/>
    </row>
    <row r="43" spans="4:9" ht="15.75" customHeight="1">
      <c r="D43" s="54" t="s">
        <v>219</v>
      </c>
    </row>
    <row r="44" spans="4:9" ht="15.75" customHeight="1"/>
    <row r="45" spans="4:9" ht="15.75" customHeight="1"/>
    <row r="46" spans="4:9" ht="15.75" customHeight="1"/>
    <row r="47" spans="4:9" ht="15.75" customHeight="1"/>
    <row r="48" spans="4: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spans="4:9" ht="15.75" customHeight="1"/>
    <row r="82" spans="4:9" ht="15.75" customHeight="1">
      <c r="D82" s="239" t="s">
        <v>218</v>
      </c>
      <c r="E82" s="209"/>
      <c r="F82" s="209"/>
      <c r="G82" s="209"/>
      <c r="H82" s="209"/>
      <c r="I82" s="209"/>
    </row>
    <row r="83" spans="4:9" ht="15.75" customHeight="1"/>
    <row r="84" spans="4:9" ht="15.75" customHeight="1">
      <c r="D84" s="54" t="s">
        <v>220</v>
      </c>
    </row>
    <row r="85" spans="4:9" ht="15.75" customHeight="1"/>
    <row r="86" spans="4:9" ht="15.75" customHeight="1"/>
    <row r="87" spans="4:9" ht="15.75" customHeight="1"/>
    <row r="88" spans="4:9" ht="15.75" customHeight="1"/>
    <row r="89" spans="4:9" ht="15.75" customHeight="1"/>
    <row r="90" spans="4:9" ht="15.75" customHeight="1"/>
    <row r="91" spans="4:9" ht="15.75" customHeight="1"/>
    <row r="92" spans="4:9" ht="15.75" customHeight="1"/>
    <row r="93" spans="4:9" ht="15.75" customHeight="1"/>
    <row r="94" spans="4:9" ht="15.75" customHeight="1"/>
    <row r="95" spans="4:9" ht="15.75" customHeight="1"/>
    <row r="96" spans="4:9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spans="4:9" ht="15.75" customHeight="1"/>
    <row r="114" spans="4:9" ht="15.75" customHeight="1"/>
    <row r="115" spans="4:9" ht="15.75" customHeight="1"/>
    <row r="116" spans="4:9" ht="15.75" customHeight="1"/>
    <row r="117" spans="4:9" ht="15.75" customHeight="1"/>
    <row r="118" spans="4:9" ht="15.75" customHeight="1"/>
    <row r="119" spans="4:9" ht="15.75" customHeight="1"/>
    <row r="120" spans="4:9" ht="15.75" customHeight="1"/>
    <row r="121" spans="4:9" ht="15.75" customHeight="1"/>
    <row r="122" spans="4:9" ht="15.75" customHeight="1"/>
    <row r="123" spans="4:9" ht="15.75" customHeight="1">
      <c r="D123" s="239" t="s">
        <v>218</v>
      </c>
      <c r="E123" s="209"/>
      <c r="F123" s="209"/>
      <c r="G123" s="209"/>
      <c r="H123" s="209"/>
      <c r="I123" s="209"/>
    </row>
    <row r="124" spans="4:9" ht="15.75" customHeight="1"/>
    <row r="125" spans="4:9" ht="15.75" customHeight="1"/>
    <row r="126" spans="4:9" ht="15.75" customHeight="1"/>
    <row r="127" spans="4:9" ht="15.75" customHeight="1"/>
    <row r="128" spans="4:9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D39:I39"/>
    <mergeCell ref="D82:I82"/>
    <mergeCell ref="D123:I123"/>
    <mergeCell ref="D41:I41"/>
  </mergeCells>
  <pageMargins left="0.7" right="0.7" top="0.75" bottom="0.75" header="0" footer="0"/>
  <pageSetup paperSize="9" scale="49" orientation="portrait" r:id="rId1"/>
  <rowBreaks count="1" manualBreakCount="1">
    <brk id="83" max="1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1000"/>
  <sheetViews>
    <sheetView view="pageBreakPreview" zoomScale="60" zoomScaleNormal="100" workbookViewId="0">
      <selection sqref="A1:I1"/>
    </sheetView>
  </sheetViews>
  <sheetFormatPr defaultColWidth="14.42578125" defaultRowHeight="15" customHeight="1"/>
  <cols>
    <col min="1" max="1" width="33.85546875" customWidth="1"/>
    <col min="2" max="9" width="15.7109375" customWidth="1"/>
    <col min="10" max="26" width="8.7109375" customWidth="1"/>
  </cols>
  <sheetData>
    <row r="1" spans="1:11">
      <c r="A1" s="204" t="s">
        <v>221</v>
      </c>
      <c r="B1" s="205"/>
      <c r="C1" s="205"/>
      <c r="D1" s="205"/>
      <c r="E1" s="205"/>
      <c r="F1" s="205"/>
      <c r="G1" s="205"/>
      <c r="H1" s="205"/>
      <c r="I1" s="205"/>
    </row>
    <row r="2" spans="1:11" ht="15.75">
      <c r="A2" s="154"/>
      <c r="B2" s="241" t="s">
        <v>40</v>
      </c>
      <c r="C2" s="196"/>
      <c r="D2" s="241" t="s">
        <v>41</v>
      </c>
      <c r="E2" s="196"/>
      <c r="F2" s="241" t="s">
        <v>42</v>
      </c>
      <c r="G2" s="196"/>
      <c r="H2" s="241" t="s">
        <v>43</v>
      </c>
      <c r="I2" s="196"/>
      <c r="K2" s="29"/>
    </row>
    <row r="3" spans="1:11" ht="75.75" customHeight="1">
      <c r="A3" s="159" t="s">
        <v>222</v>
      </c>
      <c r="B3" s="93" t="s">
        <v>223</v>
      </c>
      <c r="C3" s="94" t="s">
        <v>224</v>
      </c>
      <c r="D3" s="93" t="s">
        <v>223</v>
      </c>
      <c r="E3" s="94" t="s">
        <v>224</v>
      </c>
      <c r="F3" s="160" t="s">
        <v>225</v>
      </c>
      <c r="G3" s="94" t="s">
        <v>224</v>
      </c>
      <c r="H3" s="160" t="s">
        <v>225</v>
      </c>
      <c r="I3" s="94" t="s">
        <v>224</v>
      </c>
    </row>
    <row r="4" spans="1:11">
      <c r="A4" s="161" t="s">
        <v>9</v>
      </c>
      <c r="B4" s="162">
        <v>37.520000000000003</v>
      </c>
      <c r="C4" s="163">
        <v>50.06</v>
      </c>
      <c r="D4" s="162">
        <v>41.4</v>
      </c>
      <c r="E4" s="164">
        <v>49.3</v>
      </c>
      <c r="F4" s="75">
        <v>39.78</v>
      </c>
      <c r="G4" s="75">
        <v>49.6</v>
      </c>
      <c r="H4" s="165">
        <v>41.01</v>
      </c>
      <c r="I4" s="163">
        <v>48.13</v>
      </c>
    </row>
    <row r="5" spans="1:11">
      <c r="A5" s="109" t="s">
        <v>10</v>
      </c>
      <c r="B5" s="166">
        <v>32.4</v>
      </c>
      <c r="C5" s="167">
        <v>50.4</v>
      </c>
      <c r="D5" s="166">
        <v>33.5</v>
      </c>
      <c r="E5" s="168">
        <v>50.4</v>
      </c>
      <c r="F5" s="166">
        <v>30.8</v>
      </c>
      <c r="G5" s="168">
        <v>50.1</v>
      </c>
      <c r="H5" s="166">
        <v>28.6</v>
      </c>
      <c r="I5" s="168">
        <v>49.5</v>
      </c>
    </row>
    <row r="6" spans="1:11">
      <c r="A6" s="240"/>
      <c r="B6" s="202"/>
      <c r="C6" s="202"/>
      <c r="D6" s="202"/>
      <c r="E6" s="202"/>
      <c r="F6" s="202"/>
      <c r="G6" s="202"/>
      <c r="H6" s="202"/>
      <c r="I6" s="196"/>
    </row>
    <row r="7" spans="1:11" ht="30">
      <c r="A7" s="169" t="s">
        <v>226</v>
      </c>
      <c r="B7" s="93" t="s">
        <v>227</v>
      </c>
      <c r="C7" s="94" t="s">
        <v>228</v>
      </c>
      <c r="D7" s="93" t="s">
        <v>227</v>
      </c>
      <c r="E7" s="94" t="s">
        <v>228</v>
      </c>
      <c r="F7" s="93" t="s">
        <v>227</v>
      </c>
      <c r="G7" s="94" t="s">
        <v>228</v>
      </c>
      <c r="H7" s="93" t="s">
        <v>227</v>
      </c>
      <c r="I7" s="94" t="s">
        <v>228</v>
      </c>
    </row>
    <row r="8" spans="1:11">
      <c r="A8" s="161" t="s">
        <v>9</v>
      </c>
      <c r="B8" s="162">
        <v>68.319999999999993</v>
      </c>
      <c r="C8" s="170">
        <v>31.68</v>
      </c>
      <c r="D8" s="29">
        <v>66.2</v>
      </c>
      <c r="E8" s="99">
        <v>33.799999999999997</v>
      </c>
      <c r="F8" s="75">
        <v>64.7</v>
      </c>
      <c r="G8" s="75">
        <v>35.299999999999997</v>
      </c>
      <c r="H8" s="171">
        <v>66.099999999999994</v>
      </c>
      <c r="I8" s="98">
        <v>33.9</v>
      </c>
    </row>
    <row r="9" spans="1:11">
      <c r="A9" s="107" t="s">
        <v>10</v>
      </c>
      <c r="B9" s="166">
        <v>63</v>
      </c>
      <c r="C9" s="168">
        <v>37</v>
      </c>
      <c r="D9" s="166">
        <v>62.5</v>
      </c>
      <c r="E9" s="168">
        <v>37.5</v>
      </c>
      <c r="F9" s="166">
        <v>57.8</v>
      </c>
      <c r="G9" s="168">
        <v>42.2</v>
      </c>
      <c r="H9" s="166">
        <v>55.8</v>
      </c>
      <c r="I9" s="168">
        <v>44.2</v>
      </c>
    </row>
    <row r="10" spans="1:11">
      <c r="A10" s="240"/>
      <c r="B10" s="202"/>
      <c r="C10" s="202"/>
      <c r="D10" s="202"/>
      <c r="E10" s="202"/>
      <c r="F10" s="202"/>
      <c r="G10" s="202"/>
      <c r="H10" s="202"/>
      <c r="I10" s="196"/>
    </row>
    <row r="11" spans="1:11" ht="30">
      <c r="A11" s="169" t="s">
        <v>229</v>
      </c>
      <c r="B11" s="93" t="s">
        <v>230</v>
      </c>
      <c r="C11" s="94" t="s">
        <v>231</v>
      </c>
      <c r="D11" s="93" t="s">
        <v>230</v>
      </c>
      <c r="E11" s="94" t="s">
        <v>231</v>
      </c>
      <c r="F11" s="160" t="s">
        <v>232</v>
      </c>
      <c r="G11" s="94" t="s">
        <v>231</v>
      </c>
      <c r="H11" s="93" t="s">
        <v>230</v>
      </c>
      <c r="I11" s="94" t="s">
        <v>231</v>
      </c>
    </row>
    <row r="12" spans="1:11">
      <c r="A12" s="161" t="s">
        <v>9</v>
      </c>
      <c r="B12" s="162">
        <v>49</v>
      </c>
      <c r="C12" s="170">
        <v>46.54</v>
      </c>
      <c r="D12" s="162">
        <v>51.6</v>
      </c>
      <c r="E12" s="75">
        <v>45.3</v>
      </c>
      <c r="F12" s="165">
        <v>52.06</v>
      </c>
      <c r="G12" s="75">
        <v>44.82</v>
      </c>
      <c r="H12" s="165">
        <v>54.39</v>
      </c>
      <c r="I12" s="164">
        <v>43.21</v>
      </c>
    </row>
    <row r="13" spans="1:11">
      <c r="A13" s="107" t="s">
        <v>10</v>
      </c>
      <c r="B13" s="166">
        <v>43.1</v>
      </c>
      <c r="C13" s="168">
        <v>50</v>
      </c>
      <c r="D13" s="166">
        <v>41.3</v>
      </c>
      <c r="E13" s="168">
        <v>51.6</v>
      </c>
      <c r="F13" s="166">
        <v>40.9</v>
      </c>
      <c r="G13" s="168">
        <v>52.4</v>
      </c>
      <c r="H13" s="166">
        <v>42.5</v>
      </c>
      <c r="I13" s="168">
        <v>50.9</v>
      </c>
    </row>
    <row r="14" spans="1:11">
      <c r="A14" s="240"/>
      <c r="B14" s="202"/>
      <c r="C14" s="202"/>
      <c r="D14" s="202"/>
      <c r="E14" s="202"/>
      <c r="F14" s="202"/>
      <c r="G14" s="202"/>
      <c r="H14" s="202"/>
      <c r="I14" s="196"/>
    </row>
    <row r="15" spans="1:11" ht="60" customHeight="1">
      <c r="A15" s="169" t="s">
        <v>233</v>
      </c>
      <c r="B15" s="93" t="s">
        <v>225</v>
      </c>
      <c r="C15" s="94" t="s">
        <v>224</v>
      </c>
      <c r="D15" s="93" t="s">
        <v>225</v>
      </c>
      <c r="E15" s="94" t="s">
        <v>224</v>
      </c>
      <c r="F15" s="160" t="s">
        <v>225</v>
      </c>
      <c r="G15" s="94" t="s">
        <v>224</v>
      </c>
      <c r="H15" s="93" t="s">
        <v>225</v>
      </c>
      <c r="I15" s="94" t="s">
        <v>224</v>
      </c>
    </row>
    <row r="16" spans="1:11">
      <c r="A16" s="161" t="s">
        <v>9</v>
      </c>
      <c r="B16" s="162">
        <v>34.79</v>
      </c>
      <c r="C16" s="76">
        <v>47.18</v>
      </c>
      <c r="D16" s="165">
        <v>37.5</v>
      </c>
      <c r="E16" s="164">
        <v>44.5</v>
      </c>
      <c r="F16" s="165">
        <v>36.39</v>
      </c>
      <c r="G16" s="75">
        <v>47</v>
      </c>
      <c r="H16" s="165">
        <v>36.340000000000003</v>
      </c>
      <c r="I16" s="164">
        <v>45.33</v>
      </c>
      <c r="J16" s="29"/>
    </row>
    <row r="17" spans="1:10">
      <c r="A17" s="107" t="s">
        <v>10</v>
      </c>
      <c r="B17" s="166">
        <v>31.9</v>
      </c>
      <c r="C17" s="168">
        <v>47.2</v>
      </c>
      <c r="D17" s="166">
        <v>32</v>
      </c>
      <c r="E17" s="168">
        <v>47.1</v>
      </c>
      <c r="F17" s="166">
        <v>30.3</v>
      </c>
      <c r="G17" s="168">
        <v>47.2</v>
      </c>
      <c r="H17" s="166">
        <v>28</v>
      </c>
      <c r="I17" s="168">
        <v>46.6</v>
      </c>
    </row>
    <row r="18" spans="1:10">
      <c r="A18" s="240"/>
      <c r="B18" s="202"/>
      <c r="C18" s="202"/>
      <c r="D18" s="202"/>
      <c r="E18" s="202"/>
      <c r="F18" s="202"/>
      <c r="G18" s="202"/>
      <c r="H18" s="202"/>
      <c r="I18" s="196"/>
    </row>
    <row r="19" spans="1:10" ht="45">
      <c r="A19" s="172" t="s">
        <v>234</v>
      </c>
      <c r="B19" s="160" t="s">
        <v>235</v>
      </c>
      <c r="C19" s="94" t="s">
        <v>236</v>
      </c>
      <c r="D19" s="160" t="s">
        <v>235</v>
      </c>
      <c r="E19" s="94" t="s">
        <v>236</v>
      </c>
      <c r="F19" s="160" t="s">
        <v>235</v>
      </c>
      <c r="G19" s="94" t="s">
        <v>236</v>
      </c>
      <c r="H19" s="160" t="s">
        <v>235</v>
      </c>
      <c r="I19" s="94" t="s">
        <v>236</v>
      </c>
    </row>
    <row r="20" spans="1:10">
      <c r="A20" s="161" t="s">
        <v>9</v>
      </c>
      <c r="B20" s="162">
        <v>69.180000000000007</v>
      </c>
      <c r="C20" s="76">
        <v>30.82</v>
      </c>
      <c r="D20" s="173">
        <v>75.5</v>
      </c>
      <c r="E20" s="98">
        <v>24.5</v>
      </c>
      <c r="F20" s="75">
        <v>73.3</v>
      </c>
      <c r="G20" s="174">
        <v>26.7</v>
      </c>
      <c r="H20" s="75">
        <v>67.900000000000006</v>
      </c>
      <c r="I20" s="174">
        <v>32.1</v>
      </c>
    </row>
    <row r="21" spans="1:10" ht="15.75" customHeight="1">
      <c r="A21" s="109" t="s">
        <v>10</v>
      </c>
      <c r="B21" s="166">
        <v>65.099999999999994</v>
      </c>
      <c r="C21" s="168">
        <v>34.9</v>
      </c>
      <c r="D21" s="166">
        <v>67.2</v>
      </c>
      <c r="E21" s="168">
        <v>32.799999999999997</v>
      </c>
      <c r="F21" s="167">
        <v>62.7</v>
      </c>
      <c r="G21" s="168">
        <v>37.299999999999997</v>
      </c>
      <c r="H21" s="167">
        <v>58.2</v>
      </c>
      <c r="I21" s="167">
        <v>41.8</v>
      </c>
      <c r="J21" s="52"/>
    </row>
    <row r="22" spans="1:10" ht="15.75" customHeight="1">
      <c r="A22" s="193" t="s">
        <v>15</v>
      </c>
      <c r="B22" s="194"/>
      <c r="C22" s="194"/>
      <c r="D22" s="194"/>
      <c r="E22" s="194"/>
      <c r="F22" s="194"/>
      <c r="G22" s="29"/>
      <c r="H22" s="91"/>
    </row>
    <row r="23" spans="1:10" ht="15.75" customHeight="1"/>
    <row r="24" spans="1:10" ht="15.75" customHeight="1"/>
    <row r="25" spans="1:10" ht="15.75" customHeight="1"/>
    <row r="26" spans="1:10" ht="15.75" customHeight="1"/>
    <row r="27" spans="1:10" ht="15.75" customHeight="1"/>
    <row r="28" spans="1:10" ht="15.75" customHeight="1"/>
    <row r="29" spans="1:10" ht="15.75" customHeight="1"/>
    <row r="30" spans="1:10" ht="15.75" customHeight="1"/>
    <row r="31" spans="1:10" ht="15.75" customHeight="1"/>
    <row r="32" spans="1:10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A14:I14"/>
    <mergeCell ref="A18:I18"/>
    <mergeCell ref="A22:F22"/>
    <mergeCell ref="A1:I1"/>
    <mergeCell ref="B2:C2"/>
    <mergeCell ref="D2:E2"/>
    <mergeCell ref="F2:G2"/>
    <mergeCell ref="H2:I2"/>
    <mergeCell ref="A6:I6"/>
    <mergeCell ref="A10:I10"/>
  </mergeCells>
  <pageMargins left="0.7" right="0.7" top="0.75" bottom="0.75" header="0" footer="0"/>
  <pageSetup paperSize="9" scale="77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K1000"/>
  <sheetViews>
    <sheetView view="pageBreakPreview" zoomScale="60" zoomScaleNormal="100" workbookViewId="0">
      <selection sqref="A1:I1"/>
    </sheetView>
  </sheetViews>
  <sheetFormatPr defaultColWidth="14.42578125" defaultRowHeight="15" customHeight="1"/>
  <cols>
    <col min="1" max="1" width="16.7109375" customWidth="1"/>
    <col min="2" max="11" width="18.7109375" customWidth="1"/>
    <col min="12" max="26" width="8.7109375" customWidth="1"/>
  </cols>
  <sheetData>
    <row r="1" spans="1:11">
      <c r="A1" s="204" t="s">
        <v>237</v>
      </c>
      <c r="B1" s="205"/>
      <c r="C1" s="205"/>
      <c r="D1" s="205"/>
      <c r="E1" s="205"/>
      <c r="F1" s="205"/>
      <c r="G1" s="205"/>
      <c r="H1" s="205"/>
      <c r="I1" s="205"/>
    </row>
    <row r="2" spans="1:11" ht="46.5" customHeight="1">
      <c r="A2" s="243" t="s">
        <v>48</v>
      </c>
      <c r="B2" s="244" t="s">
        <v>222</v>
      </c>
      <c r="C2" s="202"/>
      <c r="D2" s="245" t="s">
        <v>226</v>
      </c>
      <c r="E2" s="196"/>
      <c r="F2" s="197" t="s">
        <v>229</v>
      </c>
      <c r="G2" s="194"/>
      <c r="H2" s="197" t="s">
        <v>233</v>
      </c>
      <c r="I2" s="194"/>
      <c r="J2" s="242" t="s">
        <v>234</v>
      </c>
      <c r="K2" s="196"/>
    </row>
    <row r="3" spans="1:11" ht="30">
      <c r="A3" s="212"/>
      <c r="B3" s="93" t="s">
        <v>223</v>
      </c>
      <c r="C3" s="94" t="s">
        <v>224</v>
      </c>
      <c r="D3" s="93" t="s">
        <v>227</v>
      </c>
      <c r="E3" s="94" t="s">
        <v>228</v>
      </c>
      <c r="F3" s="93" t="s">
        <v>230</v>
      </c>
      <c r="G3" s="94" t="s">
        <v>231</v>
      </c>
      <c r="H3" s="93" t="s">
        <v>225</v>
      </c>
      <c r="I3" s="94" t="s">
        <v>224</v>
      </c>
      <c r="J3" s="160" t="s">
        <v>235</v>
      </c>
      <c r="K3" s="94" t="s">
        <v>236</v>
      </c>
    </row>
    <row r="4" spans="1:11" ht="30">
      <c r="A4" s="96" t="s">
        <v>52</v>
      </c>
      <c r="B4" s="75">
        <v>32.5</v>
      </c>
      <c r="C4" s="164">
        <v>53.75</v>
      </c>
      <c r="D4" s="58">
        <v>73.2</v>
      </c>
      <c r="E4" s="62">
        <v>26.8</v>
      </c>
      <c r="F4" s="70">
        <v>52.24</v>
      </c>
      <c r="G4" s="72">
        <v>43.28</v>
      </c>
      <c r="H4" s="70">
        <v>34.21</v>
      </c>
      <c r="I4" s="72">
        <v>46.05</v>
      </c>
      <c r="J4" s="62">
        <v>55.56</v>
      </c>
      <c r="K4" s="175">
        <v>44.44</v>
      </c>
    </row>
    <row r="5" spans="1:11" ht="45">
      <c r="A5" s="96" t="s">
        <v>53</v>
      </c>
      <c r="B5" s="75">
        <v>33.950000000000003</v>
      </c>
      <c r="C5" s="174">
        <v>53.7</v>
      </c>
      <c r="D5" s="62">
        <v>70.989999999999995</v>
      </c>
      <c r="E5" s="62">
        <v>29.01</v>
      </c>
      <c r="F5" s="61">
        <v>50.67</v>
      </c>
      <c r="G5" s="73">
        <v>47.33</v>
      </c>
      <c r="H5" s="61">
        <v>41.88</v>
      </c>
      <c r="I5" s="73">
        <v>51.25</v>
      </c>
      <c r="J5" s="62">
        <v>64.86</v>
      </c>
      <c r="K5" s="176">
        <v>35.14</v>
      </c>
    </row>
    <row r="6" spans="1:11" ht="30">
      <c r="A6" s="96" t="s">
        <v>54</v>
      </c>
      <c r="B6" s="75">
        <v>34.69</v>
      </c>
      <c r="C6" s="174">
        <v>56.46</v>
      </c>
      <c r="D6" s="62">
        <v>71.540000000000006</v>
      </c>
      <c r="E6" s="176">
        <v>28.46</v>
      </c>
      <c r="F6" s="62">
        <v>52.17</v>
      </c>
      <c r="G6" s="73">
        <v>45.65</v>
      </c>
      <c r="H6" s="62">
        <v>36.44</v>
      </c>
      <c r="I6" s="73">
        <v>46.61</v>
      </c>
      <c r="J6" s="62">
        <v>67.97</v>
      </c>
      <c r="K6" s="176">
        <v>32.03</v>
      </c>
    </row>
    <row r="7" spans="1:11" ht="60">
      <c r="A7" s="96" t="s">
        <v>55</v>
      </c>
      <c r="B7" s="62">
        <v>32.89</v>
      </c>
      <c r="C7" s="73">
        <v>47.99</v>
      </c>
      <c r="D7" s="62">
        <v>69.59</v>
      </c>
      <c r="E7" s="176">
        <v>3.41</v>
      </c>
      <c r="F7" s="62">
        <v>49.83</v>
      </c>
      <c r="G7" s="73">
        <v>45.99</v>
      </c>
      <c r="H7" s="62">
        <v>29.74</v>
      </c>
      <c r="I7" s="73">
        <v>49.23</v>
      </c>
      <c r="J7" s="62">
        <v>83.19</v>
      </c>
      <c r="K7" s="176">
        <v>16.809999999999999</v>
      </c>
    </row>
    <row r="8" spans="1:11">
      <c r="A8" s="96" t="s">
        <v>56</v>
      </c>
      <c r="B8" s="62">
        <v>54.67</v>
      </c>
      <c r="C8" s="73">
        <v>42.67</v>
      </c>
      <c r="D8" s="62">
        <v>74.12</v>
      </c>
      <c r="E8" s="176">
        <v>25.88</v>
      </c>
      <c r="F8" s="62">
        <v>64.62</v>
      </c>
      <c r="G8" s="73">
        <v>35.380000000000003</v>
      </c>
      <c r="H8" s="62">
        <v>48.45</v>
      </c>
      <c r="I8" s="73">
        <v>38.14</v>
      </c>
      <c r="J8" s="62">
        <v>89.26</v>
      </c>
      <c r="K8" s="176">
        <v>10.74</v>
      </c>
    </row>
    <row r="9" spans="1:11" ht="60">
      <c r="A9" s="96" t="s">
        <v>57</v>
      </c>
      <c r="B9" s="62">
        <v>44.37</v>
      </c>
      <c r="C9" s="73">
        <v>46.36</v>
      </c>
      <c r="D9" s="62">
        <v>85.31</v>
      </c>
      <c r="E9" s="176">
        <v>14.69</v>
      </c>
      <c r="F9" s="62">
        <v>50</v>
      </c>
      <c r="G9" s="73">
        <v>47.22</v>
      </c>
      <c r="H9" s="62">
        <v>42.76</v>
      </c>
      <c r="I9" s="73">
        <v>46.9</v>
      </c>
      <c r="J9" s="62">
        <v>74.650000000000006</v>
      </c>
      <c r="K9" s="176">
        <v>25.35</v>
      </c>
    </row>
    <row r="10" spans="1:11" ht="45">
      <c r="A10" s="96" t="s">
        <v>58</v>
      </c>
      <c r="B10" s="62">
        <v>31.93</v>
      </c>
      <c r="C10" s="73">
        <v>51.26</v>
      </c>
      <c r="D10" s="62">
        <v>76</v>
      </c>
      <c r="E10" s="176">
        <v>24</v>
      </c>
      <c r="F10" s="62">
        <v>43.75</v>
      </c>
      <c r="G10" s="73">
        <v>55.21</v>
      </c>
      <c r="H10" s="62">
        <v>32.409999999999997</v>
      </c>
      <c r="I10" s="73">
        <v>53.7</v>
      </c>
      <c r="J10" s="62">
        <v>59.79</v>
      </c>
      <c r="K10" s="176">
        <v>40.21</v>
      </c>
    </row>
    <row r="11" spans="1:11">
      <c r="A11" s="96" t="s">
        <v>59</v>
      </c>
      <c r="B11" s="62">
        <v>43.02</v>
      </c>
      <c r="C11" s="73">
        <v>46.51</v>
      </c>
      <c r="D11" s="62">
        <v>78.38</v>
      </c>
      <c r="E11" s="176">
        <v>21.62</v>
      </c>
      <c r="F11" s="62">
        <v>51.32</v>
      </c>
      <c r="G11" s="73">
        <v>44.74</v>
      </c>
      <c r="H11" s="62">
        <v>46.51</v>
      </c>
      <c r="I11" s="73">
        <v>44.19</v>
      </c>
      <c r="J11" s="62">
        <v>68.67</v>
      </c>
      <c r="K11" s="176">
        <v>31.33</v>
      </c>
    </row>
    <row r="12" spans="1:11" ht="45">
      <c r="A12" s="96" t="s">
        <v>60</v>
      </c>
      <c r="B12" s="62">
        <v>41.82</v>
      </c>
      <c r="C12" s="73">
        <v>47.27</v>
      </c>
      <c r="D12" s="62">
        <v>75.510000000000005</v>
      </c>
      <c r="E12" s="176">
        <v>24.49</v>
      </c>
      <c r="F12" s="62">
        <v>44.44</v>
      </c>
      <c r="G12" s="73">
        <v>53.33</v>
      </c>
      <c r="H12" s="62">
        <v>49.09</v>
      </c>
      <c r="I12" s="73">
        <v>43.64</v>
      </c>
      <c r="J12" s="62">
        <v>80.430000000000007</v>
      </c>
      <c r="K12" s="176">
        <v>19.57</v>
      </c>
    </row>
    <row r="13" spans="1:11" ht="45">
      <c r="A13" s="96" t="s">
        <v>61</v>
      </c>
      <c r="B13" s="62">
        <v>19.59</v>
      </c>
      <c r="C13" s="73">
        <v>53.09</v>
      </c>
      <c r="D13" s="62">
        <v>44.64</v>
      </c>
      <c r="E13" s="176">
        <v>55.36</v>
      </c>
      <c r="F13" s="62">
        <v>32.840000000000003</v>
      </c>
      <c r="G13" s="73">
        <v>53.96</v>
      </c>
      <c r="H13" s="62">
        <v>16.850000000000001</v>
      </c>
      <c r="I13" s="73">
        <v>42.93</v>
      </c>
      <c r="J13" s="62">
        <v>37.96</v>
      </c>
      <c r="K13" s="176">
        <v>62.04</v>
      </c>
    </row>
    <row r="14" spans="1:11" ht="30">
      <c r="A14" s="96" t="s">
        <v>62</v>
      </c>
      <c r="B14" s="62">
        <v>59.35</v>
      </c>
      <c r="C14" s="73">
        <v>38.71</v>
      </c>
      <c r="D14" s="62">
        <v>79.13</v>
      </c>
      <c r="E14" s="176">
        <v>20.87</v>
      </c>
      <c r="F14" s="62">
        <v>63.31</v>
      </c>
      <c r="G14" s="73">
        <v>34.53</v>
      </c>
      <c r="H14" s="62">
        <v>44.44</v>
      </c>
      <c r="I14" s="73">
        <v>49.07</v>
      </c>
      <c r="J14" s="62">
        <v>84.67</v>
      </c>
      <c r="K14" s="176">
        <v>15.33</v>
      </c>
    </row>
    <row r="15" spans="1:11" ht="45">
      <c r="A15" s="96" t="s">
        <v>63</v>
      </c>
      <c r="B15" s="62">
        <v>41.06</v>
      </c>
      <c r="C15" s="73">
        <v>52.64</v>
      </c>
      <c r="D15" s="62">
        <v>65.430000000000007</v>
      </c>
      <c r="E15" s="73">
        <v>34.57</v>
      </c>
      <c r="F15" s="62">
        <v>52.17</v>
      </c>
      <c r="G15" s="73">
        <v>44.64</v>
      </c>
      <c r="H15" s="62">
        <v>37.07</v>
      </c>
      <c r="I15" s="73">
        <v>48.98</v>
      </c>
      <c r="J15" s="62">
        <v>79.39</v>
      </c>
      <c r="K15" s="176">
        <v>20.61</v>
      </c>
    </row>
    <row r="16" spans="1:11" ht="45">
      <c r="A16" s="96" t="s">
        <v>64</v>
      </c>
      <c r="B16" s="62">
        <v>43.7</v>
      </c>
      <c r="C16" s="73">
        <v>46.22</v>
      </c>
      <c r="D16" s="62">
        <v>59.49</v>
      </c>
      <c r="E16" s="73">
        <v>40.51</v>
      </c>
      <c r="F16" s="62">
        <v>53.78</v>
      </c>
      <c r="G16" s="73">
        <v>40.340000000000003</v>
      </c>
      <c r="H16" s="62">
        <v>44.19</v>
      </c>
      <c r="I16" s="73">
        <v>34.880000000000003</v>
      </c>
      <c r="J16" s="62">
        <v>78.72</v>
      </c>
      <c r="K16" s="176">
        <v>21.28</v>
      </c>
    </row>
    <row r="17" spans="1:11" ht="30">
      <c r="A17" s="96" t="s">
        <v>65</v>
      </c>
      <c r="B17" s="62">
        <v>38.94</v>
      </c>
      <c r="C17" s="73">
        <v>52.01</v>
      </c>
      <c r="D17" s="71">
        <v>71.099999999999994</v>
      </c>
      <c r="E17" s="74">
        <v>28.9</v>
      </c>
      <c r="F17" s="71">
        <v>46.41</v>
      </c>
      <c r="G17" s="74">
        <v>50</v>
      </c>
      <c r="H17" s="66">
        <v>34</v>
      </c>
      <c r="I17" s="74">
        <v>52.67</v>
      </c>
      <c r="J17" s="66">
        <v>67.260000000000005</v>
      </c>
      <c r="K17" s="177">
        <v>32.74</v>
      </c>
    </row>
    <row r="18" spans="1:11">
      <c r="A18" s="100" t="s">
        <v>66</v>
      </c>
      <c r="B18" s="178">
        <v>37.520000000000003</v>
      </c>
      <c r="C18" s="106">
        <v>50.06</v>
      </c>
      <c r="D18" s="178">
        <v>68.319999999999993</v>
      </c>
      <c r="E18" s="104">
        <v>31.68</v>
      </c>
      <c r="F18" s="178">
        <v>49</v>
      </c>
      <c r="G18" s="104">
        <v>46.54</v>
      </c>
      <c r="H18" s="178">
        <v>34.79</v>
      </c>
      <c r="I18" s="179">
        <v>47.18</v>
      </c>
      <c r="J18" s="178">
        <v>69.180000000000007</v>
      </c>
      <c r="K18" s="106">
        <v>30.82</v>
      </c>
    </row>
    <row r="19" spans="1:11">
      <c r="A19" s="107" t="s">
        <v>10</v>
      </c>
      <c r="B19" s="109">
        <v>32.4</v>
      </c>
      <c r="C19" s="110">
        <v>50.4</v>
      </c>
      <c r="D19" s="109">
        <v>63</v>
      </c>
      <c r="E19" s="111">
        <v>37</v>
      </c>
      <c r="F19" s="109">
        <v>43.1</v>
      </c>
      <c r="G19" s="111">
        <v>50</v>
      </c>
      <c r="H19" s="109">
        <v>31.9</v>
      </c>
      <c r="I19" s="111">
        <v>47.2</v>
      </c>
      <c r="J19" s="109">
        <v>65.099999999999994</v>
      </c>
      <c r="K19" s="111">
        <v>34.9</v>
      </c>
    </row>
    <row r="20" spans="1:11">
      <c r="A20" s="193" t="s">
        <v>15</v>
      </c>
      <c r="B20" s="194"/>
      <c r="C20" s="194"/>
      <c r="D20" s="194"/>
      <c r="E20" s="194"/>
      <c r="F20" s="194"/>
    </row>
    <row r="21" spans="1:11" ht="15.75" customHeight="1"/>
    <row r="22" spans="1:11" ht="15.75" customHeight="1"/>
    <row r="23" spans="1:11" ht="15.75" customHeight="1"/>
    <row r="24" spans="1:11" ht="15.75" customHeight="1"/>
    <row r="25" spans="1:11" ht="15.75" customHeight="1"/>
    <row r="26" spans="1:11" ht="15.75" customHeight="1"/>
    <row r="27" spans="1:11" ht="15.75" customHeight="1"/>
    <row r="28" spans="1:11" ht="15.75" customHeight="1"/>
    <row r="29" spans="1:11" ht="15.75" customHeight="1"/>
    <row r="30" spans="1:11" ht="15.75" customHeight="1"/>
    <row r="31" spans="1:11" ht="15.75" customHeight="1"/>
    <row r="32" spans="1:11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J2:K2"/>
    <mergeCell ref="A20:F20"/>
    <mergeCell ref="A1:I1"/>
    <mergeCell ref="A2:A3"/>
    <mergeCell ref="B2:C2"/>
    <mergeCell ref="D2:E2"/>
    <mergeCell ref="F2:G2"/>
    <mergeCell ref="H2:I2"/>
  </mergeCells>
  <pageMargins left="0.7" right="0.7" top="0.75" bottom="0.75" header="0" footer="0"/>
  <pageSetup paperSize="9" scale="6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11</vt:i4>
      </vt:variant>
      <vt:variant>
        <vt:lpstr>Intervalli denominati</vt:lpstr>
      </vt:variant>
      <vt:variant>
        <vt:i4>3</vt:i4>
      </vt:variant>
    </vt:vector>
  </HeadingPairs>
  <TitlesOfParts>
    <vt:vector size="14" baseType="lpstr">
      <vt:lpstr>Copertina</vt:lpstr>
      <vt:lpstr>Ateneo</vt:lpstr>
      <vt:lpstr>Dipartimenti</vt:lpstr>
      <vt:lpstr>Grafici Dipartimenti</vt:lpstr>
      <vt:lpstr>CdS</vt:lpstr>
      <vt:lpstr>Grafici soddisfazione CdS</vt:lpstr>
      <vt:lpstr>Grafici correlazione CdS</vt:lpstr>
      <vt:lpstr>Strutture</vt:lpstr>
      <vt:lpstr>Strutture Dipartimenti</vt:lpstr>
      <vt:lpstr>Organizzazione esami</vt:lpstr>
      <vt:lpstr>Grafico organizzazione esami</vt:lpstr>
      <vt:lpstr>'Grafici correlazione CdS'!Area_stampa</vt:lpstr>
      <vt:lpstr>'Grafici Dipartimenti'!Area_stampa</vt:lpstr>
      <vt:lpstr>'Grafico organizzazione esami'!Area_stampa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Silvia Satta</cp:lastModifiedBy>
  <cp:lastPrinted>2025-04-30T07:55:55Z</cp:lastPrinted>
  <dcterms:created xsi:type="dcterms:W3CDTF">2006-09-16T00:00:00Z</dcterms:created>
  <dcterms:modified xsi:type="dcterms:W3CDTF">2025-05-27T13:02:49Z</dcterms:modified>
</cp:coreProperties>
</file>