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Copertina" sheetId="6" r:id="rId1"/>
    <sheet name="Ateneo" sheetId="1" r:id="rId2"/>
    <sheet name="Dipartimenti" sheetId="4" r:id="rId3"/>
    <sheet name="CdS" sheetId="3" r:id="rId4"/>
    <sheet name="Strutture" sheetId="5" r:id="rId5"/>
    <sheet name="Organizzazione esami" sheetId="7" r:id="rId6"/>
  </sheets>
  <definedNames>
    <definedName name="_xlnm._FilterDatabase" localSheetId="3" hidden="1">CdS!$A$3:$N$87</definedName>
  </definedNames>
  <calcPr calcId="152511"/>
</workbook>
</file>

<file path=xl/calcChain.xml><?xml version="1.0" encoding="utf-8"?>
<calcChain xmlns="http://schemas.openxmlformats.org/spreadsheetml/2006/main">
  <c r="G18" i="4" l="1"/>
  <c r="G17" i="4"/>
  <c r="G16" i="4"/>
  <c r="G15" i="4"/>
  <c r="G14" i="4"/>
  <c r="F18" i="4"/>
  <c r="F17" i="4"/>
  <c r="F16" i="4"/>
  <c r="F15" i="4"/>
  <c r="F14" i="4"/>
  <c r="E18" i="4"/>
  <c r="E17" i="4"/>
  <c r="E16" i="4"/>
  <c r="E15" i="4"/>
  <c r="E14" i="4"/>
  <c r="F13" i="4"/>
  <c r="F12" i="4"/>
  <c r="F10" i="4"/>
  <c r="F9" i="4"/>
  <c r="F8" i="4"/>
  <c r="E13" i="4"/>
  <c r="E12" i="4"/>
  <c r="E10" i="4"/>
  <c r="E9" i="4"/>
  <c r="E8" i="4"/>
  <c r="G13" i="4"/>
  <c r="G12" i="4"/>
  <c r="G10" i="4"/>
  <c r="G9" i="4"/>
  <c r="G8" i="4"/>
  <c r="G11" i="4"/>
  <c r="G7" i="4"/>
  <c r="G6" i="4"/>
  <c r="G5" i="4"/>
  <c r="G4" i="4"/>
  <c r="F11" i="4"/>
  <c r="F7" i="4"/>
  <c r="F6" i="4"/>
  <c r="F5" i="4"/>
  <c r="F4" i="4"/>
  <c r="E11" i="4"/>
  <c r="E7" i="4"/>
  <c r="E6" i="4"/>
  <c r="E5" i="4"/>
  <c r="E4" i="4"/>
  <c r="G19" i="4"/>
  <c r="F19" i="4"/>
  <c r="E19" i="4"/>
  <c r="G20" i="4"/>
  <c r="F20" i="4"/>
  <c r="E20" i="4"/>
  <c r="J19" i="4" l="1"/>
  <c r="I19" i="4"/>
  <c r="H19" i="4"/>
  <c r="I20" i="4"/>
  <c r="H20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J7" i="4"/>
  <c r="I7" i="4"/>
  <c r="H7" i="4"/>
  <c r="K6" i="4"/>
  <c r="J6" i="4"/>
  <c r="I6" i="4"/>
  <c r="H6" i="4"/>
  <c r="J5" i="4"/>
  <c r="I5" i="4"/>
  <c r="H5" i="4"/>
  <c r="J4" i="4"/>
  <c r="I4" i="4"/>
  <c r="H4" i="4"/>
  <c r="M18" i="4" l="1"/>
  <c r="L18" i="4"/>
  <c r="K18" i="4"/>
  <c r="M17" i="4"/>
  <c r="L17" i="4"/>
  <c r="K17" i="4"/>
  <c r="M16" i="4"/>
  <c r="L16" i="4"/>
  <c r="K16" i="4"/>
  <c r="M15" i="4"/>
  <c r="L15" i="4"/>
  <c r="K15" i="4"/>
  <c r="M14" i="4"/>
  <c r="L14" i="4"/>
  <c r="K14" i="4"/>
  <c r="M13" i="4"/>
  <c r="L13" i="4"/>
  <c r="K13" i="4"/>
  <c r="M12" i="4"/>
  <c r="L12" i="4"/>
  <c r="K12" i="4"/>
  <c r="M11" i="4"/>
  <c r="L11" i="4"/>
  <c r="K11" i="4"/>
  <c r="M10" i="4"/>
  <c r="L10" i="4"/>
  <c r="K10" i="4"/>
  <c r="M9" i="4"/>
  <c r="L9" i="4"/>
  <c r="K9" i="4"/>
  <c r="M8" i="4"/>
  <c r="L8" i="4"/>
  <c r="K8" i="4"/>
  <c r="M7" i="4"/>
  <c r="L7" i="4"/>
  <c r="K7" i="4"/>
  <c r="M6" i="4"/>
  <c r="L6" i="4"/>
  <c r="M5" i="4"/>
  <c r="L5" i="4"/>
  <c r="K5" i="4"/>
  <c r="M4" i="4"/>
  <c r="L4" i="4"/>
  <c r="K4" i="4"/>
</calcChain>
</file>

<file path=xl/sharedStrings.xml><?xml version="1.0" encoding="utf-8"?>
<sst xmlns="http://schemas.openxmlformats.org/spreadsheetml/2006/main" count="599" uniqueCount="211">
  <si>
    <t>Tipologia di laurea</t>
  </si>
  <si>
    <t>Numero laureati</t>
  </si>
  <si>
    <t>% femmine</t>
  </si>
  <si>
    <t>% cittadinanza straniera</t>
  </si>
  <si>
    <t>Unisi</t>
  </si>
  <si>
    <t>Nazionale</t>
  </si>
  <si>
    <t>% residenti altra regione</t>
  </si>
  <si>
    <t>% laureati in corso</t>
  </si>
  <si>
    <t xml:space="preserve">Tutti i tipi di CdS </t>
  </si>
  <si>
    <t xml:space="preserve">Età media alla laurea </t>
  </si>
  <si>
    <t>Voto medio di laurea</t>
  </si>
  <si>
    <t>CdS per tipologia</t>
  </si>
  <si>
    <t>Corsi di Laurea  triennali</t>
  </si>
  <si>
    <t xml:space="preserve">Corsi di Laurea magistrale (biennali) </t>
  </si>
  <si>
    <t>Corsi di Laurea magistrale  a Ciclo unico</t>
  </si>
  <si>
    <t>Tasso di risposta (%)</t>
  </si>
  <si>
    <t>Sono complessivamente soddisfatti del CdS (%)</t>
  </si>
  <si>
    <t>Sono soddisfatti dei rapporti con i docenti in generale (%)</t>
  </si>
  <si>
    <t>Ritengono che il carico di studio degli insegnamenti sia stato sostenibile (%)</t>
  </si>
  <si>
    <t>Italia</t>
  </si>
  <si>
    <t>Si iscriverebbero di nuovo all'Università? (%)</t>
  </si>
  <si>
    <t>sì, allo stesso corso dell'Ateneo</t>
  </si>
  <si>
    <t>sì, ma ad un altro corso dell'Ateneo</t>
  </si>
  <si>
    <t>sì, allo stesso corso ma in un altro Ateneo</t>
  </si>
  <si>
    <t>sì, ma ad un altro corso in un altro Ateneo</t>
  </si>
  <si>
    <t>non si iscriverebbero più all'università</t>
  </si>
  <si>
    <t>Tab 4 Percentuali di risposta alla domanda "Si iscriverebbe di nuovo all'Università?" per anno di laurea confrontate con valore nazionale per tipologia di CdS</t>
  </si>
  <si>
    <t>Hanno svolto periodi di studio all'estero durante il CdS (%)</t>
  </si>
  <si>
    <t>di cui con Erasmus o altro programma dell'Unione Europea (%)</t>
  </si>
  <si>
    <t>Dipartimento</t>
  </si>
  <si>
    <t>Biotecnologie mediche</t>
  </si>
  <si>
    <t>Economia politica e Statistica</t>
  </si>
  <si>
    <t>Giurisprudenza</t>
  </si>
  <si>
    <t>Ingegneria dell’Informazione e Scienze matematiche</t>
  </si>
  <si>
    <t>Scienze della Vita</t>
  </si>
  <si>
    <t>Scienze mediche, chirurgiche e Neuroscienze</t>
  </si>
  <si>
    <t>Scienze storiche e dei Beni culturali</t>
  </si>
  <si>
    <t>Studi aziendali e giuridici</t>
  </si>
  <si>
    <t>Ateneo</t>
  </si>
  <si>
    <t>Biotecnologie, Chimica e Farmacia</t>
  </si>
  <si>
    <t>Scienze fisiche, della Terra e dell'Ambiente</t>
  </si>
  <si>
    <t>Scienze politiche e internazionali</t>
  </si>
  <si>
    <t>Scienze sociali, politiche e cognitive</t>
  </si>
  <si>
    <t>Medicina molecolare e dello Sviluppo</t>
  </si>
  <si>
    <t>Filologia e Critica delle Letterature antiche e moderne</t>
  </si>
  <si>
    <t>Scienze della Formazione, Scienze umane e della Comunicazione interculturale</t>
  </si>
  <si>
    <t>Sono complessivamente soddisfatti del CdL/CdLM (%)</t>
  </si>
  <si>
    <t>Nucleo di Valutazione Università degli Studi di Siena</t>
  </si>
  <si>
    <t>CdS</t>
  </si>
  <si>
    <t>Classe</t>
  </si>
  <si>
    <t>Si iscriverebbero di nuovo allo stesso Corso dello stesso Ateneo (%)</t>
  </si>
  <si>
    <t>Biotecnologie</t>
  </si>
  <si>
    <t>L-2</t>
  </si>
  <si>
    <t>L-14</t>
  </si>
  <si>
    <t>Dietistica (Abilitante alla Professione sanitaria di Dietista)</t>
  </si>
  <si>
    <t>L/SNT3</t>
  </si>
  <si>
    <t>Economia e Commercio</t>
  </si>
  <si>
    <t>L-18</t>
  </si>
  <si>
    <t>L-30</t>
  </si>
  <si>
    <t>Fisioterapia (Abilitante alla Professione sanitaria di Fisioterapista)</t>
  </si>
  <si>
    <t>L/SNT2</t>
  </si>
  <si>
    <t>L-34</t>
  </si>
  <si>
    <t>Igiene Dentale (Abilitante alla Professione sanitaria di Igienista dentale)</t>
  </si>
  <si>
    <t>Infermieristica (Abilitante alla Professione sanitaria di Infermiere)</t>
  </si>
  <si>
    <t>L/SNT1</t>
  </si>
  <si>
    <t>Ingegneria gestionale</t>
  </si>
  <si>
    <t>L-8</t>
  </si>
  <si>
    <t>Ingegneria informatica e dell'Informazione</t>
  </si>
  <si>
    <t>Lingue per la Comunicazione interculturale e d'Impresa</t>
  </si>
  <si>
    <t>L-11</t>
  </si>
  <si>
    <t>Logopedia (Abilitante alla Professione sanitaria di Logopedista)</t>
  </si>
  <si>
    <t>Matematica</t>
  </si>
  <si>
    <t>L-35</t>
  </si>
  <si>
    <t>Ortottica ed Assistenza oftalmologica (Abilitante alla Professione sanitaria di Ortottista ed Assistente di Oftalmologia)</t>
  </si>
  <si>
    <t>Ostetricia (Abilitante alla Professione Sanitaria di Ostetrica/o)</t>
  </si>
  <si>
    <t>Scienze ambientali e naturali</t>
  </si>
  <si>
    <t>L-32</t>
  </si>
  <si>
    <t>Scienze biologiche</t>
  </si>
  <si>
    <t>L-13</t>
  </si>
  <si>
    <t>Scienze chimiche</t>
  </si>
  <si>
    <t>L-27</t>
  </si>
  <si>
    <t>Scienze del Servizio sociale</t>
  </si>
  <si>
    <t>L-39</t>
  </si>
  <si>
    <t>Scienze della Comunicazione</t>
  </si>
  <si>
    <t>L-20</t>
  </si>
  <si>
    <t>Scienze dell'Educazione e della Formazione</t>
  </si>
  <si>
    <t>L-19</t>
  </si>
  <si>
    <t>Scienze economiche e bancarie</t>
  </si>
  <si>
    <t>L-33</t>
  </si>
  <si>
    <t>Scienze politiche</t>
  </si>
  <si>
    <t>L-36</t>
  </si>
  <si>
    <t>Scienze storiche e del Patrimonio culturale</t>
  </si>
  <si>
    <t>L-1</t>
  </si>
  <si>
    <t>Studi letterari e filosofici</t>
  </si>
  <si>
    <t>L-10</t>
  </si>
  <si>
    <t>Tecniche della Prevenzione nell'Ambiente e nei Luoghi di Lavoro (Abilitante alla Professione sanitaria di Tecnico della Prevenzione nell'Ambiente e nei Luoghi di Lavoro)</t>
  </si>
  <si>
    <t>L/SNT4</t>
  </si>
  <si>
    <t>Tecniche di Laboratorio Biomedico (Abilitante alla Professione sanitaria di Tecnico di Laboratorio biomedico)</t>
  </si>
  <si>
    <t>Antropologia e Linguaggi dell'Immagine</t>
  </si>
  <si>
    <t>LM-1</t>
  </si>
  <si>
    <t>Archeologia</t>
  </si>
  <si>
    <t>LM-2</t>
  </si>
  <si>
    <t>LM-6</t>
  </si>
  <si>
    <t>Biologia sanitaria</t>
  </si>
  <si>
    <t>Chemistry-Chimica</t>
  </si>
  <si>
    <t>LM-54</t>
  </si>
  <si>
    <t>Computer And Automation Engineering – Ingegneria Informatica e dell’Automazione</t>
  </si>
  <si>
    <t>LM-32</t>
  </si>
  <si>
    <t>Economia e Gestione degli Intermediari finanziari</t>
  </si>
  <si>
    <t>LM-77</t>
  </si>
  <si>
    <t>Economia/Economics</t>
  </si>
  <si>
    <t>LM-56</t>
  </si>
  <si>
    <t>Ecotossicologia e Sostenibilità ambientale</t>
  </si>
  <si>
    <t>LM-75</t>
  </si>
  <si>
    <t>Electronics And communications Engineering - Ingegneria elettronica e delle Telecomunicazioni</t>
  </si>
  <si>
    <t>LM-27</t>
  </si>
  <si>
    <t>Finance - Finanza</t>
  </si>
  <si>
    <t>LM-16</t>
  </si>
  <si>
    <t>LM-74</t>
  </si>
  <si>
    <t>LM-31</t>
  </si>
  <si>
    <t xml:space="preserve">Languange and Mind: Linguistics and cognitive Studies - Mente e Linguaggio: linguistica e Studi cognitivi </t>
  </si>
  <si>
    <t>LM-39</t>
  </si>
  <si>
    <t>Lettere classiche</t>
  </si>
  <si>
    <t>LM-15</t>
  </si>
  <si>
    <t>Lettere moderne</t>
  </si>
  <si>
    <t>LM-14</t>
  </si>
  <si>
    <t>Management e Governance</t>
  </si>
  <si>
    <t>LM-40</t>
  </si>
  <si>
    <t>Medical Biotechnologies - Biotecnologie mediche</t>
  </si>
  <si>
    <t>LM-9</t>
  </si>
  <si>
    <t>LM-63</t>
  </si>
  <si>
    <t>Scienze infermieristiche e ostetriche</t>
  </si>
  <si>
    <t>LM/SNT1</t>
  </si>
  <si>
    <t>Scienze internazionali</t>
  </si>
  <si>
    <t>LM-52</t>
  </si>
  <si>
    <t>Scienze per la Formazione e la Consulenza pedagogica nelle Organizzazioni</t>
  </si>
  <si>
    <t>LM-85</t>
  </si>
  <si>
    <t>Scienze riabilitative delle Professioni sanitarie</t>
  </si>
  <si>
    <t>LM/SNT2</t>
  </si>
  <si>
    <t>Scienze statistiche per le Indagini campionarie</t>
  </si>
  <si>
    <t>LM-82</t>
  </si>
  <si>
    <t>Storia dell'Arte</t>
  </si>
  <si>
    <t>LM-89</t>
  </si>
  <si>
    <t>LM-92</t>
  </si>
  <si>
    <t>Chimica e Tecnologia farmaceutica</t>
  </si>
  <si>
    <t>LM-13</t>
  </si>
  <si>
    <t>Farmacia</t>
  </si>
  <si>
    <t>LMG/01</t>
  </si>
  <si>
    <t>Medicina e Chirurgia</t>
  </si>
  <si>
    <t>LM-41</t>
  </si>
  <si>
    <t>Scienze geologiche</t>
  </si>
  <si>
    <t>Biologia</t>
  </si>
  <si>
    <t xml:space="preserve">Applied Mathematics-Matematica applicata </t>
  </si>
  <si>
    <t xml:space="preserve">Hanno 1 o più esami all'estero convalidati (per 100 che hanno svolto esperienze di studio all'estero riconosciute dal CdS) </t>
  </si>
  <si>
    <t>Valutazione delle aule (per 100 fruitori)</t>
  </si>
  <si>
    <t>Sempre o quasi sempre adeguate</t>
  </si>
  <si>
    <t xml:space="preserve">Spesso adeguate </t>
  </si>
  <si>
    <t xml:space="preserve">Sempre o quasi sempre adeguate </t>
  </si>
  <si>
    <t>Valutazione delle postazioni informatiche (per 100 fruitori)</t>
  </si>
  <si>
    <t>In numero adeguato</t>
  </si>
  <si>
    <t xml:space="preserve">In numero inadeguato </t>
  </si>
  <si>
    <t>Valutazione dei servizi di biblioteca (per 100 fruitori)</t>
  </si>
  <si>
    <t xml:space="preserve">Decisamente positiva </t>
  </si>
  <si>
    <t xml:space="preserve">Abbastanza positiva </t>
  </si>
  <si>
    <t>Decisamente positiva</t>
  </si>
  <si>
    <t>Valutazione delle attrezzature per le altre attività didattiche (laboratori, attività pratiche, …) (per 100 fruitori)</t>
  </si>
  <si>
    <t>Hanno ritenuto l'organizzazione degli esami (appelli, orari, informazioni, prenotazioni, ...) soddisfacente (%)</t>
  </si>
  <si>
    <t>Sempre o quasi sempre</t>
  </si>
  <si>
    <t>Per più della metà degli esami</t>
  </si>
  <si>
    <t>Per meno della metà degli esami</t>
  </si>
  <si>
    <t>Fisica e Tecnologie avanzate</t>
  </si>
  <si>
    <t>Geoscienze e Geologia applicata</t>
  </si>
  <si>
    <t>LM-81</t>
  </si>
  <si>
    <t>Scienze delle Amministrazioni</t>
  </si>
  <si>
    <t>LM-84</t>
  </si>
  <si>
    <t xml:space="preserve">LM-78 </t>
  </si>
  <si>
    <t>Storia e Filosofia (interclasse)</t>
  </si>
  <si>
    <t>Tab 3: Tasso di risposta al questionario Profilo Laureati 2019 AlmaLaurea e percentuali di giudizi positivi (decisamente sì + più sì che no) ad alcuni quesiti confrontati con valore nazionale per tipologia di CdS</t>
  </si>
  <si>
    <t>Pubblic and cultural Diplomacy - Diplomazia pubblica e culturale</t>
  </si>
  <si>
    <t>* I dati non vengono visualizzati per collettivi con meno di 5 laureati</t>
  </si>
  <si>
    <t>Strategie e Tecniche della Comunicazione</t>
  </si>
  <si>
    <t>Tecniche di Fisiopatologia Cardiocircolatoria e Perfusione cardiovascolare (Abilitante alla Professione sanitaria di Tecnico di Fisiopatologia cardiocircolatoria e Perfusione cardiovascolare)</t>
  </si>
  <si>
    <t>Fonte: AlmaLaurea</t>
  </si>
  <si>
    <t>Allegato statistico rilevazione opinione dei laureandi</t>
  </si>
  <si>
    <t>Relazione annuale 2022 dei Nuclei di Valutazione interna (D. Lgs. 19/2012, art. 12 e art. 14)</t>
  </si>
  <si>
    <t xml:space="preserve">Tabella 1: Profilo laureati anno solare 2020 per tipologia di laurea </t>
  </si>
  <si>
    <t>Tabella 2: Andamento laureati anno solare 2020 per tipologia di laurea</t>
  </si>
  <si>
    <t>Numero laureati 2020</t>
  </si>
  <si>
    <t xml:space="preserve">Tabella 7: Tasso di risposta al questionario Profilo Laureati AlmaLaurea laureati 2020 e percentuali di giudizi positivi (decisamente sì + più sì che no) ad alcuni quesiti per Corso di Studio, confrontati con il valore nazionale della classe </t>
  </si>
  <si>
    <t>Consulente del Lavoro**</t>
  </si>
  <si>
    <t>** La nuova denominazione del CdS è "Servizi giuridici"</t>
  </si>
  <si>
    <t>Mai o quasi mai</t>
  </si>
  <si>
    <t>*</t>
  </si>
  <si>
    <t>Genetic Counsellors</t>
  </si>
  <si>
    <t>International Accounting and Management</t>
  </si>
  <si>
    <t>Biotechnologies of Human Reproduction</t>
  </si>
  <si>
    <t xml:space="preserve">Engineering management </t>
  </si>
  <si>
    <t>Ritengono che il carico di studio degli insegnamenti adeguato alla durata del CdS (%)</t>
  </si>
  <si>
    <t>Tutti i tipi di CdS*</t>
  </si>
  <si>
    <t>*Per Unisi le elaborazioni sono al netto dei laureati nei CdS del vecchio ordinamento che invece sono conteggiati nel valore nazionale</t>
  </si>
  <si>
    <t xml:space="preserve">Tutti i tipi di CdS* </t>
  </si>
  <si>
    <t>Tutti i tipi di CdS *</t>
  </si>
  <si>
    <t>Tabella 6: Percentuali di giudizi positivi (decisamente sì + più sì che no) ad alcuni quesiti laureandi quadriennio 2017-2020 per Dipartimento</t>
  </si>
  <si>
    <t>Laureandi 2020</t>
  </si>
  <si>
    <t>Laureandi 2019</t>
  </si>
  <si>
    <t>Laureadi 2018</t>
  </si>
  <si>
    <t>Laureandi 2017</t>
  </si>
  <si>
    <t>Laureandi 2018</t>
  </si>
  <si>
    <t>Tabella 9: Valutazione dell'organizzazione degli esami per Dipartimento laureandi Unisi quadriennio 2017-2020</t>
  </si>
  <si>
    <t>Tabella 5: Adesione a programmi di mobilità internazionale laureandi quariennio 2017 - 2020 per tipologia di laurea</t>
  </si>
  <si>
    <t xml:space="preserve">Tabella 8: Valutazione delle strutture dell'Ateneo e confronto con valore nazionale laureandi quadriennio 2017-2020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</si>
</sst>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/>
    <xf numFmtId="0" fontId="12" fillId="4" borderId="0" applyNumberFormat="0" applyBorder="0" applyAlignment="0" applyProtection="0"/>
  </cellStyleXfs>
  <cellXfs count="279">
    <xf numFmtId="0" fontId="0" fillId="0" borderId="0" xfId="0"/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right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right"/>
    </xf>
    <xf numFmtId="164" fontId="0" fillId="0" borderId="0" xfId="0" applyNumberFormat="1" applyBorder="1"/>
    <xf numFmtId="0" fontId="0" fillId="0" borderId="7" xfId="0" applyBorder="1"/>
    <xf numFmtId="0" fontId="0" fillId="0" borderId="15" xfId="0" applyBorder="1"/>
    <xf numFmtId="0" fontId="0" fillId="0" borderId="6" xfId="0" applyBorder="1"/>
    <xf numFmtId="0" fontId="1" fillId="0" borderId="0" xfId="0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/>
    <xf numFmtId="0" fontId="1" fillId="0" borderId="10" xfId="0" applyFont="1" applyBorder="1" applyAlignment="1">
      <alignment horizontal="center" vertical="center" wrapText="1"/>
    </xf>
    <xf numFmtId="0" fontId="0" fillId="0" borderId="14" xfId="0" applyBorder="1"/>
    <xf numFmtId="164" fontId="1" fillId="0" borderId="8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2" xfId="0" applyFont="1" applyBorder="1"/>
    <xf numFmtId="0" fontId="4" fillId="0" borderId="8" xfId="0" applyFont="1" applyBorder="1" applyAlignment="1">
      <alignment horizontal="center" vertical="center" wrapText="1"/>
    </xf>
    <xf numFmtId="0" fontId="0" fillId="0" borderId="14" xfId="0" applyFont="1" applyBorder="1"/>
    <xf numFmtId="0" fontId="0" fillId="0" borderId="15" xfId="0" applyFont="1" applyBorder="1"/>
    <xf numFmtId="0" fontId="0" fillId="0" borderId="13" xfId="0" applyFont="1" applyBorder="1"/>
    <xf numFmtId="0" fontId="0" fillId="0" borderId="6" xfId="0" applyFont="1" applyBorder="1"/>
    <xf numFmtId="0" fontId="4" fillId="0" borderId="1" xfId="0" applyFont="1" applyFill="1" applyBorder="1" applyAlignment="1">
      <alignment wrapText="1"/>
    </xf>
    <xf numFmtId="0" fontId="0" fillId="0" borderId="1" xfId="0" applyFill="1" applyBorder="1"/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ill="1"/>
    <xf numFmtId="164" fontId="1" fillId="0" borderId="1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164" fontId="0" fillId="0" borderId="6" xfId="0" applyNumberFormat="1" applyBorder="1"/>
    <xf numFmtId="164" fontId="0" fillId="0" borderId="15" xfId="0" applyNumberFormat="1" applyBorder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164" fontId="0" fillId="0" borderId="13" xfId="0" applyNumberFormat="1" applyFont="1" applyBorder="1"/>
    <xf numFmtId="164" fontId="0" fillId="0" borderId="6" xfId="0" applyNumberFormat="1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  <xf numFmtId="164" fontId="0" fillId="0" borderId="11" xfId="0" applyNumberFormat="1" applyFont="1" applyBorder="1"/>
    <xf numFmtId="0" fontId="3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Fill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3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164" fontId="1" fillId="0" borderId="8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/>
    <xf numFmtId="164" fontId="4" fillId="0" borderId="10" xfId="0" applyNumberFormat="1" applyFont="1" applyFill="1" applyBorder="1" applyAlignment="1"/>
    <xf numFmtId="164" fontId="0" fillId="0" borderId="0" xfId="0" applyNumberFormat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0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6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0" fillId="0" borderId="7" xfId="0" applyNumberFormat="1" applyFill="1" applyBorder="1" applyAlignment="1">
      <alignment vertical="center"/>
    </xf>
    <xf numFmtId="164" fontId="11" fillId="0" borderId="7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right" vertical="center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12" xfId="0" applyFill="1" applyBorder="1" applyAlignment="1">
      <alignment horizontal="right" vertical="center"/>
    </xf>
    <xf numFmtId="164" fontId="0" fillId="0" borderId="12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 wrapText="1"/>
    </xf>
    <xf numFmtId="0" fontId="0" fillId="0" borderId="14" xfId="0" applyFill="1" applyBorder="1" applyAlignment="1">
      <alignment horizontal="right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3" xfId="0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vertical="center"/>
    </xf>
    <xf numFmtId="164" fontId="0" fillId="0" borderId="12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3" fontId="2" fillId="0" borderId="11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0" fillId="0" borderId="0" xfId="0" applyNumberFormat="1" applyFill="1" applyBorder="1" applyAlignment="1">
      <alignment vertical="center" wrapText="1"/>
    </xf>
    <xf numFmtId="3" fontId="12" fillId="4" borderId="0" xfId="2" applyNumberFormat="1" applyBorder="1" applyAlignment="1">
      <alignment vertical="center"/>
    </xf>
    <xf numFmtId="3" fontId="12" fillId="4" borderId="12" xfId="2" applyNumberFormat="1" applyBorder="1" applyAlignment="1">
      <alignment vertical="center"/>
    </xf>
    <xf numFmtId="164" fontId="12" fillId="4" borderId="0" xfId="2" applyNumberFormat="1" applyBorder="1" applyAlignment="1">
      <alignment vertical="center"/>
    </xf>
    <xf numFmtId="164" fontId="12" fillId="4" borderId="0" xfId="2" applyNumberFormat="1" applyAlignment="1">
      <alignment vertical="center"/>
    </xf>
    <xf numFmtId="164" fontId="12" fillId="4" borderId="12" xfId="2" applyNumberFormat="1" applyBorder="1" applyAlignment="1">
      <alignment vertical="center"/>
    </xf>
    <xf numFmtId="164" fontId="12" fillId="4" borderId="0" xfId="2" applyNumberFormat="1" applyBorder="1" applyAlignment="1">
      <alignment horizontal="right" vertical="center"/>
    </xf>
    <xf numFmtId="164" fontId="12" fillId="4" borderId="7" xfId="2" applyNumberFormat="1" applyBorder="1" applyAlignment="1">
      <alignment horizontal="right" vertical="center"/>
    </xf>
    <xf numFmtId="164" fontId="12" fillId="4" borderId="15" xfId="2" applyNumberFormat="1" applyBorder="1" applyAlignment="1">
      <alignment horizontal="right" vertical="center"/>
    </xf>
    <xf numFmtId="164" fontId="0" fillId="0" borderId="11" xfId="0" applyNumberFormat="1" applyFill="1" applyBorder="1" applyAlignment="1">
      <alignment horizontal="right" vertical="center"/>
    </xf>
    <xf numFmtId="164" fontId="0" fillId="0" borderId="11" xfId="0" applyNumberFormat="1" applyFill="1" applyBorder="1" applyAlignment="1">
      <alignment vertical="center" wrapText="1"/>
    </xf>
    <xf numFmtId="164" fontId="0" fillId="0" borderId="14" xfId="0" applyNumberFormat="1" applyFill="1" applyBorder="1" applyAlignment="1">
      <alignment horizontal="right" vertical="center"/>
    </xf>
    <xf numFmtId="164" fontId="12" fillId="4" borderId="7" xfId="2" applyNumberFormat="1" applyBorder="1" applyAlignment="1">
      <alignment vertical="center"/>
    </xf>
    <xf numFmtId="164" fontId="12" fillId="4" borderId="15" xfId="2" applyNumberFormat="1" applyBorder="1" applyAlignment="1">
      <alignment vertical="center"/>
    </xf>
    <xf numFmtId="164" fontId="3" fillId="0" borderId="8" xfId="0" applyNumberFormat="1" applyFont="1" applyFill="1" applyBorder="1" applyAlignment="1">
      <alignment horizontal="center"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right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4" fillId="0" borderId="8" xfId="0" applyNumberFormat="1" applyFont="1" applyFill="1" applyBorder="1" applyAlignment="1"/>
    <xf numFmtId="164" fontId="4" fillId="0" borderId="8" xfId="0" applyNumberFormat="1" applyFont="1" applyFill="1" applyBorder="1" applyAlignment="1">
      <alignment horizontal="right"/>
    </xf>
    <xf numFmtId="3" fontId="12" fillId="4" borderId="0" xfId="2" applyNumberFormat="1" applyBorder="1" applyAlignment="1">
      <alignment horizontal="right" vertical="center"/>
    </xf>
    <xf numFmtId="164" fontId="12" fillId="4" borderId="6" xfId="2" applyNumberForma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12" fillId="4" borderId="5" xfId="2" applyNumberFormat="1" applyBorder="1" applyAlignment="1">
      <alignment horizontal="right" vertical="center"/>
    </xf>
    <xf numFmtId="0" fontId="12" fillId="4" borderId="0" xfId="2" applyBorder="1" applyAlignment="1">
      <alignment vertical="center"/>
    </xf>
    <xf numFmtId="0" fontId="12" fillId="4" borderId="0" xfId="2" applyAlignment="1">
      <alignment vertical="center"/>
    </xf>
    <xf numFmtId="0" fontId="12" fillId="4" borderId="7" xfId="2" applyBorder="1" applyAlignment="1">
      <alignment vertical="center"/>
    </xf>
    <xf numFmtId="164" fontId="12" fillId="4" borderId="6" xfId="2" applyNumberFormat="1" applyBorder="1" applyAlignment="1">
      <alignment vertical="center"/>
    </xf>
    <xf numFmtId="0" fontId="12" fillId="4" borderId="15" xfId="2" applyBorder="1" applyAlignment="1">
      <alignment vertical="center"/>
    </xf>
    <xf numFmtId="164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4" fontId="0" fillId="0" borderId="11" xfId="0" quotePrefix="1" applyNumberForma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" fontId="0" fillId="0" borderId="0" xfId="0" applyNumberFormat="1" applyBorder="1"/>
    <xf numFmtId="0" fontId="0" fillId="0" borderId="9" xfId="0" applyBorder="1"/>
    <xf numFmtId="164" fontId="0" fillId="0" borderId="6" xfId="0" applyNumberForma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5" xfId="0" applyBorder="1"/>
    <xf numFmtId="0" fontId="0" fillId="0" borderId="15" xfId="0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3" fontId="4" fillId="4" borderId="10" xfId="2" applyNumberFormat="1" applyFont="1" applyBorder="1" applyAlignment="1">
      <alignment horizontal="right"/>
    </xf>
    <xf numFmtId="165" fontId="4" fillId="4" borderId="10" xfId="2" applyNumberFormat="1" applyFont="1" applyBorder="1" applyAlignment="1">
      <alignment horizontal="right"/>
    </xf>
    <xf numFmtId="164" fontId="4" fillId="4" borderId="10" xfId="2" applyNumberFormat="1" applyFont="1" applyBorder="1" applyAlignment="1">
      <alignment horizontal="right"/>
    </xf>
    <xf numFmtId="164" fontId="4" fillId="4" borderId="9" xfId="2" applyNumberFormat="1" applyFont="1" applyBorder="1" applyAlignment="1">
      <alignment horizontal="right"/>
    </xf>
    <xf numFmtId="164" fontId="4" fillId="4" borderId="9" xfId="2" applyNumberFormat="1" applyFont="1" applyBorder="1" applyAlignment="1"/>
    <xf numFmtId="164" fontId="12" fillId="0" borderId="0" xfId="2" applyNumberFormat="1" applyFill="1" applyBorder="1" applyAlignment="1">
      <alignment horizontal="right"/>
    </xf>
    <xf numFmtId="164" fontId="0" fillId="0" borderId="15" xfId="0" applyNumberFormat="1" applyFill="1" applyBorder="1" applyAlignment="1">
      <alignment vertical="center"/>
    </xf>
    <xf numFmtId="0" fontId="0" fillId="0" borderId="13" xfId="0" applyBorder="1"/>
    <xf numFmtId="164" fontId="0" fillId="0" borderId="13" xfId="0" applyNumberFormat="1" applyBorder="1"/>
    <xf numFmtId="164" fontId="0" fillId="0" borderId="14" xfId="0" applyNumberFormat="1" applyBorder="1"/>
    <xf numFmtId="0" fontId="4" fillId="0" borderId="3" xfId="0" applyFont="1" applyBorder="1"/>
    <xf numFmtId="0" fontId="0" fillId="0" borderId="7" xfId="0" applyFont="1" applyBorder="1"/>
    <xf numFmtId="3" fontId="0" fillId="0" borderId="0" xfId="0" applyNumberFormat="1"/>
    <xf numFmtId="164" fontId="4" fillId="0" borderId="8" xfId="0" applyNumberFormat="1" applyFont="1" applyFill="1" applyBorder="1"/>
    <xf numFmtId="164" fontId="4" fillId="0" borderId="10" xfId="0" applyNumberFormat="1" applyFont="1" applyFill="1" applyBorder="1"/>
    <xf numFmtId="164" fontId="4" fillId="0" borderId="9" xfId="0" applyNumberFormat="1" applyFont="1" applyFill="1" applyBorder="1"/>
    <xf numFmtId="3" fontId="12" fillId="4" borderId="7" xfId="2" applyNumberFormat="1" applyBorder="1" applyAlignment="1">
      <alignment vertical="center"/>
    </xf>
    <xf numFmtId="3" fontId="12" fillId="4" borderId="15" xfId="2" applyNumberFormat="1" applyBorder="1" applyAlignment="1">
      <alignment vertical="center"/>
    </xf>
    <xf numFmtId="164" fontId="4" fillId="4" borderId="10" xfId="2" applyNumberFormat="1" applyFont="1" applyBorder="1" applyAlignment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6" fillId="0" borderId="0" xfId="0" applyFont="1" applyFill="1"/>
    <xf numFmtId="0" fontId="0" fillId="0" borderId="11" xfId="0" applyFill="1" applyBorder="1"/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/>
    </xf>
    <xf numFmtId="164" fontId="4" fillId="0" borderId="12" xfId="0" applyNumberFormat="1" applyFont="1" applyFill="1" applyBorder="1"/>
    <xf numFmtId="164" fontId="0" fillId="0" borderId="5" xfId="0" applyNumberFormat="1" applyFill="1" applyBorder="1" applyAlignment="1">
      <alignment vertical="center"/>
    </xf>
    <xf numFmtId="0" fontId="0" fillId="0" borderId="1" xfId="0" applyBorder="1"/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4" fillId="0" borderId="12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 vertical="center" wrapText="1"/>
    </xf>
    <xf numFmtId="0" fontId="6" fillId="0" borderId="1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</cellXfs>
  <cellStyles count="3">
    <cellStyle name="20% - Colore 1" xfId="2" builtinId="30"/>
    <cellStyle name="Normale" xfId="0" builtinId="0"/>
    <cellStyle name="Normale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0</xdr:row>
      <xdr:rowOff>0</xdr:rowOff>
    </xdr:from>
    <xdr:to>
      <xdr:col>9</xdr:col>
      <xdr:colOff>400050</xdr:colOff>
      <xdr:row>6</xdr:row>
      <xdr:rowOff>79248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0"/>
          <a:ext cx="3048000" cy="122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Q9" sqref="Q9"/>
    </sheetView>
  </sheetViews>
  <sheetFormatPr defaultRowHeight="15" x14ac:dyDescent="0.25"/>
  <sheetData>
    <row r="1" spans="1:14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ht="21" x14ac:dyDescent="0.25">
      <c r="A7" s="42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ht="21" x14ac:dyDescent="0.25">
      <c r="A8" s="42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15.75" x14ac:dyDescent="0.25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</row>
    <row r="10" spans="1:14" ht="23.25" x14ac:dyDescent="0.25">
      <c r="A10" s="41"/>
      <c r="B10" s="206" t="s">
        <v>183</v>
      </c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41"/>
    </row>
    <row r="11" spans="1:14" ht="21" x14ac:dyDescent="0.25">
      <c r="A11" s="41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1"/>
      <c r="N11" s="41"/>
    </row>
    <row r="12" spans="1:14" ht="18.75" x14ac:dyDescent="0.25">
      <c r="A12" s="41"/>
      <c r="B12" s="207" t="s">
        <v>184</v>
      </c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41"/>
    </row>
    <row r="13" spans="1:14" ht="15.75" x14ac:dyDescent="0.25">
      <c r="A13" s="41"/>
      <c r="B13" s="4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1"/>
      <c r="N13" s="41"/>
    </row>
    <row r="14" spans="1:14" ht="15.75" x14ac:dyDescent="0.25">
      <c r="A14" s="41"/>
      <c r="B14" s="41"/>
      <c r="C14" s="208" t="s">
        <v>47</v>
      </c>
      <c r="D14" s="208"/>
      <c r="E14" s="208"/>
      <c r="F14" s="208"/>
      <c r="G14" s="208"/>
      <c r="H14" s="208"/>
      <c r="I14" s="208"/>
      <c r="J14" s="208"/>
      <c r="K14" s="208"/>
      <c r="L14" s="208"/>
      <c r="M14" s="41"/>
      <c r="N14" s="41"/>
    </row>
    <row r="15" spans="1:14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</row>
    <row r="16" spans="1:14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7" spans="1:14" x14ac:dyDescent="0.25">
      <c r="A17" s="44"/>
      <c r="B17" s="44"/>
      <c r="C17" s="44"/>
      <c r="D17" s="44"/>
      <c r="E17" s="44"/>
      <c r="F17" s="41"/>
      <c r="G17" s="41"/>
      <c r="H17" s="41"/>
      <c r="I17" s="41"/>
      <c r="J17" s="41"/>
      <c r="K17" s="41"/>
      <c r="L17" s="41"/>
      <c r="M17" s="41"/>
      <c r="N17" s="41"/>
    </row>
    <row r="18" spans="1:14" x14ac:dyDescent="0.25">
      <c r="A18" s="44"/>
      <c r="B18" s="44"/>
      <c r="C18" s="44"/>
      <c r="D18" s="44"/>
      <c r="E18" s="44"/>
      <c r="F18" s="41"/>
      <c r="G18" s="41"/>
      <c r="H18" s="41"/>
      <c r="I18" s="41"/>
      <c r="J18" s="41"/>
      <c r="K18" s="41"/>
      <c r="L18" s="41"/>
      <c r="M18" s="41"/>
      <c r="N18" s="41"/>
    </row>
    <row r="19" spans="1:14" x14ac:dyDescent="0.25">
      <c r="A19" s="44"/>
      <c r="B19" s="44"/>
      <c r="C19" s="44"/>
      <c r="D19" s="44"/>
      <c r="E19" s="44"/>
      <c r="F19" s="41"/>
      <c r="G19" s="41"/>
      <c r="H19" s="41"/>
      <c r="I19" s="41"/>
      <c r="J19" s="41"/>
      <c r="K19" s="41"/>
      <c r="L19" s="41"/>
      <c r="M19" s="41"/>
      <c r="N19" s="41"/>
    </row>
    <row r="20" spans="1:14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</row>
    <row r="21" spans="1:14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4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4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4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14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4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29" spans="1:14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</row>
    <row r="30" spans="1:14" x14ac:dyDescent="0.25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x14ac:dyDescent="0.25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</sheetData>
  <mergeCells count="3">
    <mergeCell ref="B10:M10"/>
    <mergeCell ref="B12:M12"/>
    <mergeCell ref="C14:L14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topLeftCell="A55" zoomScaleNormal="100" workbookViewId="0">
      <selection activeCell="A59" sqref="A59:J59"/>
    </sheetView>
  </sheetViews>
  <sheetFormatPr defaultRowHeight="15" x14ac:dyDescent="0.25"/>
  <cols>
    <col min="1" max="1" width="16.7109375" customWidth="1"/>
    <col min="7" max="7" width="9.85546875" bestFit="1" customWidth="1"/>
    <col min="8" max="8" width="9.140625" customWidth="1"/>
    <col min="9" max="9" width="9.85546875" bestFit="1" customWidth="1"/>
    <col min="13" max="13" width="10.85546875" customWidth="1"/>
    <col min="19" max="19" width="10" customWidth="1"/>
  </cols>
  <sheetData>
    <row r="1" spans="1:14" x14ac:dyDescent="0.25">
      <c r="A1" s="217" t="s">
        <v>185</v>
      </c>
      <c r="B1" s="217"/>
      <c r="C1" s="217"/>
      <c r="D1" s="217"/>
      <c r="E1" s="217"/>
      <c r="F1" s="217"/>
    </row>
    <row r="2" spans="1:14" s="1" customFormat="1" ht="15" customHeight="1" x14ac:dyDescent="0.25">
      <c r="A2" s="236" t="s">
        <v>0</v>
      </c>
      <c r="B2" s="239" t="s">
        <v>1</v>
      </c>
      <c r="C2" s="239"/>
      <c r="D2" s="241" t="s">
        <v>2</v>
      </c>
      <c r="E2" s="242"/>
      <c r="F2" s="228" t="s">
        <v>6</v>
      </c>
      <c r="G2" s="229"/>
      <c r="H2" s="228" t="s">
        <v>3</v>
      </c>
      <c r="I2" s="229"/>
    </row>
    <row r="3" spans="1:14" s="1" customFormat="1" ht="15" customHeight="1" x14ac:dyDescent="0.25">
      <c r="A3" s="237"/>
      <c r="B3" s="240"/>
      <c r="C3" s="240"/>
      <c r="D3" s="243"/>
      <c r="E3" s="244"/>
      <c r="F3" s="230"/>
      <c r="G3" s="231"/>
      <c r="H3" s="230"/>
      <c r="I3" s="231"/>
    </row>
    <row r="4" spans="1:14" s="1" customFormat="1" x14ac:dyDescent="0.25">
      <c r="A4" s="238"/>
      <c r="B4" s="2" t="s">
        <v>4</v>
      </c>
      <c r="C4" s="4" t="s">
        <v>5</v>
      </c>
      <c r="D4" s="2" t="s">
        <v>4</v>
      </c>
      <c r="E4" s="3" t="s">
        <v>5</v>
      </c>
      <c r="F4" s="4" t="s">
        <v>4</v>
      </c>
      <c r="G4" s="4" t="s">
        <v>5</v>
      </c>
      <c r="H4" s="2" t="s">
        <v>4</v>
      </c>
      <c r="I4" s="3" t="s">
        <v>5</v>
      </c>
    </row>
    <row r="5" spans="1:14" s="1" customFormat="1" ht="30" x14ac:dyDescent="0.25">
      <c r="A5" s="35" t="s">
        <v>12</v>
      </c>
      <c r="B5" s="120">
        <v>1448</v>
      </c>
      <c r="C5" s="143">
        <v>165356</v>
      </c>
      <c r="D5" s="145">
        <v>63.19</v>
      </c>
      <c r="E5" s="144">
        <v>58.3</v>
      </c>
      <c r="F5" s="121">
        <v>43.78</v>
      </c>
      <c r="G5" s="148">
        <v>20.6</v>
      </c>
      <c r="H5" s="145">
        <v>4.97</v>
      </c>
      <c r="I5" s="144">
        <v>3.2</v>
      </c>
      <c r="L5" s="162"/>
      <c r="M5" s="192"/>
    </row>
    <row r="6" spans="1:14" s="1" customFormat="1" ht="45" x14ac:dyDescent="0.25">
      <c r="A6" s="35" t="s">
        <v>13</v>
      </c>
      <c r="B6" s="120">
        <v>1004</v>
      </c>
      <c r="C6" s="143">
        <v>88548</v>
      </c>
      <c r="D6" s="146">
        <v>52.99</v>
      </c>
      <c r="E6" s="130">
        <v>56.4</v>
      </c>
      <c r="F6" s="122">
        <v>58.37</v>
      </c>
      <c r="G6" s="129">
        <v>29.6</v>
      </c>
      <c r="H6" s="146">
        <v>14.44</v>
      </c>
      <c r="I6" s="130">
        <v>6</v>
      </c>
    </row>
    <row r="7" spans="1:14" s="1" customFormat="1" ht="45" x14ac:dyDescent="0.25">
      <c r="A7" s="35" t="s">
        <v>14</v>
      </c>
      <c r="B7" s="120">
        <v>483</v>
      </c>
      <c r="C7" s="143">
        <v>35771</v>
      </c>
      <c r="D7" s="146">
        <v>62.73</v>
      </c>
      <c r="E7" s="130">
        <v>66.099999999999994</v>
      </c>
      <c r="F7" s="122">
        <v>61.49</v>
      </c>
      <c r="G7" s="129">
        <v>21.7</v>
      </c>
      <c r="H7" s="146">
        <v>3.11</v>
      </c>
      <c r="I7" s="130">
        <v>2.2000000000000002</v>
      </c>
    </row>
    <row r="8" spans="1:14" s="1" customFormat="1" x14ac:dyDescent="0.25">
      <c r="A8" s="5" t="s">
        <v>198</v>
      </c>
      <c r="B8" s="6">
        <v>2935</v>
      </c>
      <c r="C8" s="171">
        <v>290772</v>
      </c>
      <c r="D8" s="22">
        <v>59.63</v>
      </c>
      <c r="E8" s="172">
        <v>58.7</v>
      </c>
      <c r="F8" s="22">
        <v>51.69</v>
      </c>
      <c r="G8" s="172">
        <v>23.5</v>
      </c>
      <c r="H8" s="22">
        <v>7.9</v>
      </c>
      <c r="I8" s="172">
        <v>3.9</v>
      </c>
      <c r="J8" s="19"/>
      <c r="L8" s="162"/>
    </row>
    <row r="9" spans="1:14" s="1" customFormat="1" x14ac:dyDescent="0.25">
      <c r="A9" s="209" t="s">
        <v>182</v>
      </c>
      <c r="B9" s="209"/>
      <c r="C9" s="209"/>
      <c r="D9" s="209"/>
      <c r="E9" s="209"/>
      <c r="F9" s="209"/>
      <c r="G9" s="15"/>
      <c r="H9" s="15"/>
      <c r="I9" s="15"/>
    </row>
    <row r="10" spans="1:14" s="1" customFormat="1" ht="22.5" customHeight="1" x14ac:dyDescent="0.25">
      <c r="A10" s="245" t="s">
        <v>199</v>
      </c>
      <c r="B10" s="245"/>
      <c r="C10" s="245"/>
      <c r="D10" s="245"/>
      <c r="E10" s="245"/>
      <c r="F10" s="245"/>
      <c r="G10" s="245"/>
      <c r="H10" s="245"/>
      <c r="I10" s="245"/>
    </row>
    <row r="11" spans="1:14" s="1" customFormat="1" x14ac:dyDescent="0.25">
      <c r="A11" s="190"/>
      <c r="B11" s="190"/>
      <c r="C11" s="190"/>
      <c r="D11" s="190"/>
      <c r="E11" s="190"/>
      <c r="F11" s="190"/>
      <c r="G11" s="15"/>
      <c r="H11" s="15"/>
      <c r="I11" s="15"/>
    </row>
    <row r="12" spans="1:14" x14ac:dyDescent="0.25">
      <c r="A12" s="217" t="s">
        <v>186</v>
      </c>
      <c r="B12" s="217"/>
      <c r="C12" s="217"/>
      <c r="D12" s="217"/>
      <c r="E12" s="217"/>
      <c r="F12" s="217"/>
      <c r="G12" s="217"/>
      <c r="N12" s="183"/>
    </row>
    <row r="13" spans="1:14" ht="34.5" customHeight="1" x14ac:dyDescent="0.25">
      <c r="A13" s="234" t="s">
        <v>0</v>
      </c>
      <c r="B13" s="233" t="s">
        <v>9</v>
      </c>
      <c r="C13" s="233"/>
      <c r="D13" s="228" t="s">
        <v>10</v>
      </c>
      <c r="E13" s="229"/>
      <c r="F13" s="233" t="s">
        <v>7</v>
      </c>
      <c r="G13" s="229"/>
      <c r="L13" s="176"/>
    </row>
    <row r="14" spans="1:14" x14ac:dyDescent="0.25">
      <c r="A14" s="235"/>
      <c r="B14" s="2" t="s">
        <v>4</v>
      </c>
      <c r="C14" s="4" t="s">
        <v>5</v>
      </c>
      <c r="D14" s="2" t="s">
        <v>4</v>
      </c>
      <c r="E14" s="3" t="s">
        <v>5</v>
      </c>
      <c r="F14" s="4" t="s">
        <v>4</v>
      </c>
      <c r="G14" s="3" t="s">
        <v>5</v>
      </c>
    </row>
    <row r="15" spans="1:14" ht="30" x14ac:dyDescent="0.25">
      <c r="A15" s="35" t="s">
        <v>12</v>
      </c>
      <c r="B15" s="146">
        <v>24.956</v>
      </c>
      <c r="C15" s="129">
        <v>24.5</v>
      </c>
      <c r="D15" s="146">
        <v>101.084</v>
      </c>
      <c r="E15" s="130">
        <v>100.1</v>
      </c>
      <c r="F15" s="122">
        <v>60.5</v>
      </c>
      <c r="G15" s="130">
        <v>57.7</v>
      </c>
    </row>
    <row r="16" spans="1:14" ht="45" x14ac:dyDescent="0.25">
      <c r="A16" s="35" t="s">
        <v>13</v>
      </c>
      <c r="B16" s="146">
        <v>27.356999999999999</v>
      </c>
      <c r="C16" s="129">
        <v>27.2</v>
      </c>
      <c r="D16" s="146">
        <v>107.54</v>
      </c>
      <c r="E16" s="130">
        <v>108</v>
      </c>
      <c r="F16" s="122">
        <v>55.3</v>
      </c>
      <c r="G16" s="130">
        <v>64.3</v>
      </c>
    </row>
    <row r="17" spans="1:13" ht="45" x14ac:dyDescent="0.25">
      <c r="A17" s="35" t="s">
        <v>14</v>
      </c>
      <c r="B17" s="146">
        <v>27.228000000000002</v>
      </c>
      <c r="C17" s="129">
        <v>27.1</v>
      </c>
      <c r="D17" s="146">
        <v>104.41800000000001</v>
      </c>
      <c r="E17" s="130">
        <v>105.6</v>
      </c>
      <c r="F17" s="122">
        <v>40.200000000000003</v>
      </c>
      <c r="G17" s="130">
        <v>48.6</v>
      </c>
    </row>
    <row r="18" spans="1:13" x14ac:dyDescent="0.25">
      <c r="A18" s="5" t="s">
        <v>200</v>
      </c>
      <c r="B18" s="10">
        <v>26.2</v>
      </c>
      <c r="C18" s="173">
        <v>25.8</v>
      </c>
      <c r="D18" s="22">
        <v>103.8</v>
      </c>
      <c r="E18" s="174">
        <v>103.2</v>
      </c>
      <c r="F18" s="10">
        <v>55.2</v>
      </c>
      <c r="G18" s="174">
        <v>58.4</v>
      </c>
    </row>
    <row r="19" spans="1:13" ht="15" customHeight="1" x14ac:dyDescent="0.25">
      <c r="A19" s="209" t="s">
        <v>182</v>
      </c>
      <c r="B19" s="209"/>
      <c r="C19" s="209"/>
      <c r="D19" s="209"/>
      <c r="E19" s="209"/>
      <c r="F19" s="209"/>
    </row>
    <row r="20" spans="1:13" s="1" customFormat="1" ht="22.5" customHeight="1" x14ac:dyDescent="0.25">
      <c r="A20" s="245" t="s">
        <v>199</v>
      </c>
      <c r="B20" s="245"/>
      <c r="C20" s="245"/>
      <c r="D20" s="245"/>
      <c r="E20" s="245"/>
      <c r="F20" s="245"/>
      <c r="G20" s="245"/>
      <c r="H20" s="191"/>
      <c r="I20" s="191"/>
    </row>
    <row r="22" spans="1:13" ht="30" customHeight="1" x14ac:dyDescent="0.25">
      <c r="A22" s="232" t="s">
        <v>177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1"/>
      <c r="M22" s="1"/>
    </row>
    <row r="23" spans="1:13" ht="90.75" customHeight="1" x14ac:dyDescent="0.25">
      <c r="A23" s="246" t="s">
        <v>11</v>
      </c>
      <c r="B23" s="248" t="s">
        <v>187</v>
      </c>
      <c r="C23" s="249"/>
      <c r="D23" s="228" t="s">
        <v>15</v>
      </c>
      <c r="E23" s="229"/>
      <c r="F23" s="233" t="s">
        <v>16</v>
      </c>
      <c r="G23" s="233"/>
      <c r="H23" s="228" t="s">
        <v>17</v>
      </c>
      <c r="I23" s="229"/>
      <c r="J23" s="257" t="s">
        <v>197</v>
      </c>
      <c r="K23" s="257"/>
      <c r="L23" s="255"/>
      <c r="M23" s="256"/>
    </row>
    <row r="24" spans="1:13" x14ac:dyDescent="0.25">
      <c r="A24" s="247"/>
      <c r="B24" s="2" t="s">
        <v>4</v>
      </c>
      <c r="C24" s="4" t="s">
        <v>5</v>
      </c>
      <c r="D24" s="2" t="s">
        <v>4</v>
      </c>
      <c r="E24" s="3" t="s">
        <v>5</v>
      </c>
      <c r="F24" s="4" t="s">
        <v>4</v>
      </c>
      <c r="G24" s="4" t="s">
        <v>5</v>
      </c>
      <c r="H24" s="2" t="s">
        <v>4</v>
      </c>
      <c r="I24" s="3" t="s">
        <v>5</v>
      </c>
      <c r="J24" s="4" t="s">
        <v>4</v>
      </c>
      <c r="K24" s="4" t="s">
        <v>5</v>
      </c>
      <c r="L24" s="71"/>
      <c r="M24" s="70"/>
    </row>
    <row r="25" spans="1:13" ht="30" x14ac:dyDescent="0.25">
      <c r="A25" s="35" t="s">
        <v>12</v>
      </c>
      <c r="B25" s="120">
        <v>1448</v>
      </c>
      <c r="C25" s="143">
        <v>165356</v>
      </c>
      <c r="D25" s="147">
        <v>96.48</v>
      </c>
      <c r="E25" s="130">
        <v>93.6</v>
      </c>
      <c r="F25" s="147">
        <v>90.06</v>
      </c>
      <c r="G25" s="149">
        <v>90.9</v>
      </c>
      <c r="H25" s="147">
        <v>88.6</v>
      </c>
      <c r="I25" s="151">
        <v>88.6</v>
      </c>
      <c r="J25" s="147">
        <v>86.81</v>
      </c>
      <c r="K25" s="152">
        <v>86</v>
      </c>
      <c r="L25" s="1"/>
      <c r="M25" s="1"/>
    </row>
    <row r="26" spans="1:13" ht="45" x14ac:dyDescent="0.25">
      <c r="A26" s="8" t="s">
        <v>13</v>
      </c>
      <c r="B26" s="120">
        <v>1004</v>
      </c>
      <c r="C26" s="143">
        <v>88548</v>
      </c>
      <c r="D26" s="147">
        <v>95.32</v>
      </c>
      <c r="E26" s="130">
        <v>91.3</v>
      </c>
      <c r="F26" s="147">
        <v>88.75</v>
      </c>
      <c r="G26" s="150">
        <v>91.1</v>
      </c>
      <c r="H26" s="147">
        <v>88.55</v>
      </c>
      <c r="I26" s="151">
        <v>91.1</v>
      </c>
      <c r="J26" s="147">
        <v>89.34</v>
      </c>
      <c r="K26" s="151">
        <v>89.6</v>
      </c>
      <c r="L26" s="1"/>
      <c r="M26" s="1"/>
    </row>
    <row r="27" spans="1:13" ht="45" x14ac:dyDescent="0.25">
      <c r="A27" s="8" t="s">
        <v>14</v>
      </c>
      <c r="B27" s="120">
        <v>483</v>
      </c>
      <c r="C27" s="143">
        <v>35771</v>
      </c>
      <c r="D27" s="147">
        <v>95.86</v>
      </c>
      <c r="E27" s="130">
        <v>93.2</v>
      </c>
      <c r="F27" s="147">
        <v>84.47</v>
      </c>
      <c r="G27" s="149">
        <v>89.3</v>
      </c>
      <c r="H27" s="147">
        <v>74.33</v>
      </c>
      <c r="I27" s="151">
        <v>82</v>
      </c>
      <c r="J27" s="147">
        <v>76.400000000000006</v>
      </c>
      <c r="K27" s="153">
        <v>76.099999999999994</v>
      </c>
      <c r="L27" s="1"/>
      <c r="M27" s="1"/>
    </row>
    <row r="28" spans="1:13" x14ac:dyDescent="0.25">
      <c r="A28" s="5" t="s">
        <v>198</v>
      </c>
      <c r="B28" s="6">
        <v>2935</v>
      </c>
      <c r="C28" s="171">
        <v>290772</v>
      </c>
      <c r="D28" s="67">
        <v>95.98</v>
      </c>
      <c r="E28" s="175">
        <v>92.8</v>
      </c>
      <c r="F28" s="37">
        <v>88.69</v>
      </c>
      <c r="G28" s="175">
        <v>90.800000000000011</v>
      </c>
      <c r="H28" s="37">
        <v>86.24</v>
      </c>
      <c r="I28" s="175">
        <v>88.6</v>
      </c>
      <c r="J28" s="73">
        <v>85.96</v>
      </c>
      <c r="K28" s="175">
        <v>85.9</v>
      </c>
      <c r="L28" s="1"/>
      <c r="M28" s="1"/>
    </row>
    <row r="29" spans="1:13" ht="15" customHeight="1" x14ac:dyDescent="0.25">
      <c r="A29" s="209" t="s">
        <v>182</v>
      </c>
      <c r="B29" s="209"/>
      <c r="C29" s="209"/>
      <c r="D29" s="209"/>
      <c r="E29" s="209"/>
      <c r="F29" s="209"/>
      <c r="G29" s="60"/>
      <c r="H29" s="60"/>
      <c r="I29" s="60"/>
      <c r="J29" s="59"/>
      <c r="K29" s="59"/>
    </row>
    <row r="30" spans="1:13" x14ac:dyDescent="0.25">
      <c r="A30" s="245" t="s">
        <v>199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5"/>
    </row>
    <row r="31" spans="1:13" ht="15" customHeight="1" x14ac:dyDescent="0.25">
      <c r="A31" s="64"/>
      <c r="B31" s="61"/>
      <c r="C31" s="61"/>
      <c r="D31" s="62"/>
      <c r="E31" s="62"/>
      <c r="F31" s="63"/>
      <c r="G31" s="59"/>
      <c r="H31" s="59"/>
      <c r="I31" s="59"/>
      <c r="J31" s="59"/>
      <c r="K31" s="59"/>
    </row>
    <row r="32" spans="1:13" ht="27" customHeight="1" x14ac:dyDescent="0.25">
      <c r="A32" s="219" t="s">
        <v>26</v>
      </c>
      <c r="B32" s="219"/>
      <c r="C32" s="219"/>
      <c r="D32" s="219"/>
      <c r="E32" s="219"/>
      <c r="F32" s="219"/>
      <c r="G32" s="219"/>
      <c r="H32" s="219"/>
      <c r="I32" s="219"/>
    </row>
    <row r="33" spans="1:16" ht="15" customHeight="1" x14ac:dyDescent="0.25">
      <c r="A33" s="220" t="s">
        <v>11</v>
      </c>
      <c r="B33" s="221" t="s">
        <v>20</v>
      </c>
      <c r="C33" s="222"/>
      <c r="D33" s="225" t="s">
        <v>4</v>
      </c>
      <c r="E33" s="226"/>
      <c r="F33" s="226"/>
      <c r="G33" s="163"/>
      <c r="H33" s="225" t="s">
        <v>5</v>
      </c>
      <c r="I33" s="226"/>
      <c r="J33" s="226"/>
      <c r="K33" s="227"/>
      <c r="L33" s="1"/>
      <c r="M33" s="1"/>
      <c r="N33" s="1"/>
    </row>
    <row r="34" spans="1:16" ht="29.25" customHeight="1" x14ac:dyDescent="0.25">
      <c r="A34" s="220"/>
      <c r="B34" s="223"/>
      <c r="C34" s="224"/>
      <c r="D34" s="2">
        <v>2020</v>
      </c>
      <c r="E34" s="4">
        <v>2019</v>
      </c>
      <c r="F34" s="4">
        <v>2018</v>
      </c>
      <c r="G34" s="3">
        <v>2017</v>
      </c>
      <c r="H34" s="2">
        <v>2020</v>
      </c>
      <c r="I34" s="4">
        <v>2019</v>
      </c>
      <c r="J34" s="4">
        <v>2018</v>
      </c>
      <c r="K34" s="4">
        <v>2017</v>
      </c>
      <c r="L34" s="19"/>
      <c r="M34" s="1"/>
      <c r="N34" s="1"/>
      <c r="O34" s="1"/>
      <c r="P34" s="1"/>
    </row>
    <row r="35" spans="1:16" ht="27.75" customHeight="1" x14ac:dyDescent="0.25">
      <c r="A35" s="218" t="s">
        <v>12</v>
      </c>
      <c r="B35" s="215" t="s">
        <v>21</v>
      </c>
      <c r="C35" s="216"/>
      <c r="D35" s="79">
        <v>75.319999999999993</v>
      </c>
      <c r="E35" s="79">
        <v>73.7</v>
      </c>
      <c r="F35" s="79">
        <v>74.5</v>
      </c>
      <c r="G35" s="80">
        <v>72.900000000000006</v>
      </c>
      <c r="H35" s="78">
        <v>71.7</v>
      </c>
      <c r="I35" s="79">
        <v>70.3</v>
      </c>
      <c r="J35" s="79">
        <v>68.400000000000006</v>
      </c>
      <c r="K35" s="80">
        <v>67.099999999999994</v>
      </c>
    </row>
    <row r="36" spans="1:16" ht="27.75" customHeight="1" x14ac:dyDescent="0.25">
      <c r="A36" s="218"/>
      <c r="B36" s="210" t="s">
        <v>22</v>
      </c>
      <c r="C36" s="211"/>
      <c r="D36" s="76">
        <v>7.19</v>
      </c>
      <c r="E36" s="76">
        <v>8.8000000000000007</v>
      </c>
      <c r="F36" s="76">
        <v>7.4</v>
      </c>
      <c r="G36" s="77">
        <v>7.6</v>
      </c>
      <c r="H36" s="75">
        <v>10.4</v>
      </c>
      <c r="I36" s="76">
        <v>10.5</v>
      </c>
      <c r="J36" s="76">
        <v>10.8</v>
      </c>
      <c r="K36" s="77">
        <v>10.7</v>
      </c>
    </row>
    <row r="37" spans="1:16" ht="41.25" customHeight="1" x14ac:dyDescent="0.25">
      <c r="A37" s="218"/>
      <c r="B37" s="210" t="s">
        <v>23</v>
      </c>
      <c r="C37" s="211"/>
      <c r="D37" s="76">
        <v>9.86</v>
      </c>
      <c r="E37" s="76">
        <v>11</v>
      </c>
      <c r="F37" s="76">
        <v>10.9</v>
      </c>
      <c r="G37" s="92">
        <v>10.7</v>
      </c>
      <c r="H37" s="91">
        <v>10.199999999999999</v>
      </c>
      <c r="I37" s="76">
        <v>11.1</v>
      </c>
      <c r="J37" s="76">
        <v>12</v>
      </c>
      <c r="K37" s="77">
        <v>12.8</v>
      </c>
    </row>
    <row r="38" spans="1:16" ht="43.5" customHeight="1" x14ac:dyDescent="0.25">
      <c r="A38" s="218"/>
      <c r="B38" s="210" t="s">
        <v>24</v>
      </c>
      <c r="C38" s="211"/>
      <c r="D38" s="76">
        <v>6.12</v>
      </c>
      <c r="E38" s="76">
        <v>5.0999999999999996</v>
      </c>
      <c r="F38" s="76">
        <v>5.9</v>
      </c>
      <c r="G38" s="92">
        <v>7</v>
      </c>
      <c r="H38" s="91">
        <v>5.7</v>
      </c>
      <c r="I38" s="76">
        <v>5.9</v>
      </c>
      <c r="J38" s="76">
        <v>6.5</v>
      </c>
      <c r="K38" s="77">
        <v>6.7</v>
      </c>
    </row>
    <row r="39" spans="1:16" ht="45" customHeight="1" x14ac:dyDescent="0.25">
      <c r="A39" s="218"/>
      <c r="B39" s="213" t="s">
        <v>25</v>
      </c>
      <c r="C39" s="214"/>
      <c r="D39" s="81">
        <v>1.51</v>
      </c>
      <c r="E39" s="82">
        <v>1.1000000000000001</v>
      </c>
      <c r="F39" s="76">
        <v>1.3</v>
      </c>
      <c r="G39" s="83">
        <v>1.3</v>
      </c>
      <c r="H39" s="82">
        <v>1.7</v>
      </c>
      <c r="I39" s="82">
        <v>1.7</v>
      </c>
      <c r="J39" s="82">
        <v>2</v>
      </c>
      <c r="K39" s="83">
        <v>2.2999999999999998</v>
      </c>
    </row>
    <row r="40" spans="1:16" ht="33" customHeight="1" x14ac:dyDescent="0.25">
      <c r="A40" s="218" t="s">
        <v>13</v>
      </c>
      <c r="B40" s="215" t="s">
        <v>21</v>
      </c>
      <c r="C40" s="216"/>
      <c r="D40" s="76">
        <v>74.16</v>
      </c>
      <c r="E40" s="76">
        <v>71.8</v>
      </c>
      <c r="F40" s="79">
        <v>72.400000000000006</v>
      </c>
      <c r="G40" s="77">
        <v>71.400000000000006</v>
      </c>
      <c r="H40" s="76">
        <v>76.099999999999994</v>
      </c>
      <c r="I40" s="79">
        <v>75.599999999999994</v>
      </c>
      <c r="J40" s="76">
        <v>74.8</v>
      </c>
      <c r="K40" s="80">
        <v>74.2</v>
      </c>
    </row>
    <row r="41" spans="1:16" ht="32.25" customHeight="1" x14ac:dyDescent="0.25">
      <c r="A41" s="218"/>
      <c r="B41" s="210" t="s">
        <v>22</v>
      </c>
      <c r="C41" s="211"/>
      <c r="D41" s="76">
        <v>6.38</v>
      </c>
      <c r="E41" s="76">
        <v>6.8</v>
      </c>
      <c r="F41" s="57">
        <v>7.1</v>
      </c>
      <c r="G41" s="77">
        <v>8.5</v>
      </c>
      <c r="H41" s="76">
        <v>6.7</v>
      </c>
      <c r="I41" s="76">
        <v>6.8</v>
      </c>
      <c r="J41" s="76">
        <v>6.8</v>
      </c>
      <c r="K41" s="77">
        <v>6.5</v>
      </c>
    </row>
    <row r="42" spans="1:16" ht="45" customHeight="1" x14ac:dyDescent="0.25">
      <c r="A42" s="218"/>
      <c r="B42" s="210" t="s">
        <v>23</v>
      </c>
      <c r="C42" s="211"/>
      <c r="D42" s="76">
        <v>8.7899999999999991</v>
      </c>
      <c r="E42" s="76">
        <v>11.9</v>
      </c>
      <c r="F42" s="57">
        <v>9.8000000000000007</v>
      </c>
      <c r="G42" s="77">
        <v>10.6</v>
      </c>
      <c r="H42" s="76">
        <v>8.9</v>
      </c>
      <c r="I42" s="76">
        <v>9.1999999999999993</v>
      </c>
      <c r="J42" s="76">
        <v>9.5</v>
      </c>
      <c r="K42" s="77">
        <v>10</v>
      </c>
    </row>
    <row r="43" spans="1:16" ht="45" customHeight="1" x14ac:dyDescent="0.25">
      <c r="A43" s="218"/>
      <c r="B43" s="210" t="s">
        <v>24</v>
      </c>
      <c r="C43" s="211"/>
      <c r="D43" s="76">
        <v>6.69</v>
      </c>
      <c r="E43" s="76">
        <v>6</v>
      </c>
      <c r="F43" s="57">
        <v>7.2</v>
      </c>
      <c r="G43" s="77">
        <v>7.3</v>
      </c>
      <c r="H43" s="75">
        <v>5</v>
      </c>
      <c r="I43" s="76">
        <v>4.9000000000000004</v>
      </c>
      <c r="J43" s="76">
        <v>5.0999999999999996</v>
      </c>
      <c r="K43" s="77">
        <v>5.0999999999999996</v>
      </c>
    </row>
    <row r="44" spans="1:16" ht="45" customHeight="1" x14ac:dyDescent="0.25">
      <c r="A44" s="218"/>
      <c r="B44" s="213" t="s">
        <v>25</v>
      </c>
      <c r="C44" s="214"/>
      <c r="D44" s="82">
        <v>3.97</v>
      </c>
      <c r="E44" s="82">
        <v>3.3</v>
      </c>
      <c r="F44" s="116">
        <v>3.5</v>
      </c>
      <c r="G44" s="83">
        <v>2.1</v>
      </c>
      <c r="H44" s="81">
        <v>3.1</v>
      </c>
      <c r="I44" s="82">
        <v>3.1</v>
      </c>
      <c r="J44" s="82">
        <v>3.5</v>
      </c>
      <c r="K44" s="83">
        <v>3.9</v>
      </c>
    </row>
    <row r="45" spans="1:16" ht="35.25" customHeight="1" x14ac:dyDescent="0.25">
      <c r="A45" s="220" t="s">
        <v>11</v>
      </c>
      <c r="B45" s="221" t="s">
        <v>20</v>
      </c>
      <c r="C45" s="222"/>
      <c r="D45" s="225" t="s">
        <v>4</v>
      </c>
      <c r="E45" s="226"/>
      <c r="F45" s="226"/>
      <c r="G45" s="227"/>
      <c r="H45" s="225" t="s">
        <v>5</v>
      </c>
      <c r="I45" s="226"/>
      <c r="J45" s="226"/>
      <c r="K45" s="227"/>
    </row>
    <row r="46" spans="1:16" ht="33.75" customHeight="1" x14ac:dyDescent="0.25">
      <c r="A46" s="220"/>
      <c r="B46" s="223"/>
      <c r="C46" s="224"/>
      <c r="D46" s="4">
        <v>2020</v>
      </c>
      <c r="E46" s="4">
        <v>2019</v>
      </c>
      <c r="F46" s="4">
        <v>2018</v>
      </c>
      <c r="G46" s="3">
        <v>2017</v>
      </c>
      <c r="H46" s="4">
        <v>2020</v>
      </c>
      <c r="I46" s="4">
        <v>2019</v>
      </c>
      <c r="J46" s="4">
        <v>2018</v>
      </c>
      <c r="K46" s="4">
        <v>2017</v>
      </c>
      <c r="L46" s="19"/>
    </row>
    <row r="47" spans="1:16" ht="30" customHeight="1" x14ac:dyDescent="0.25">
      <c r="A47" s="218" t="s">
        <v>14</v>
      </c>
      <c r="B47" s="215" t="s">
        <v>21</v>
      </c>
      <c r="C47" s="216"/>
      <c r="D47" s="74">
        <v>65.37</v>
      </c>
      <c r="E47" s="74">
        <v>69.3</v>
      </c>
      <c r="F47" s="76">
        <v>70.5</v>
      </c>
      <c r="G47" s="80">
        <v>71.8</v>
      </c>
      <c r="H47" s="76">
        <v>69.8</v>
      </c>
      <c r="I47" s="76">
        <v>68.7</v>
      </c>
      <c r="J47" s="76">
        <v>66.5</v>
      </c>
      <c r="K47" s="80">
        <v>66.3</v>
      </c>
    </row>
    <row r="48" spans="1:16" ht="27.75" customHeight="1" x14ac:dyDescent="0.25">
      <c r="A48" s="218"/>
      <c r="B48" s="210" t="s">
        <v>22</v>
      </c>
      <c r="C48" s="211"/>
      <c r="D48" s="74">
        <v>6.49</v>
      </c>
      <c r="E48" s="74">
        <v>6.8</v>
      </c>
      <c r="F48" s="76">
        <v>7</v>
      </c>
      <c r="G48" s="77">
        <v>7.2</v>
      </c>
      <c r="H48" s="76">
        <v>7</v>
      </c>
      <c r="I48" s="76">
        <v>7.5</v>
      </c>
      <c r="J48" s="76">
        <v>7.7</v>
      </c>
      <c r="K48" s="77">
        <v>7.5</v>
      </c>
    </row>
    <row r="49" spans="1:25" ht="45" customHeight="1" x14ac:dyDescent="0.25">
      <c r="A49" s="218"/>
      <c r="B49" s="210" t="s">
        <v>23</v>
      </c>
      <c r="C49" s="211"/>
      <c r="D49" s="74">
        <v>20.56</v>
      </c>
      <c r="E49" s="74">
        <v>15.7</v>
      </c>
      <c r="F49" s="76">
        <v>14.1</v>
      </c>
      <c r="G49" s="77">
        <v>14.6</v>
      </c>
      <c r="H49" s="76">
        <v>16.5</v>
      </c>
      <c r="I49" s="76">
        <v>16.600000000000001</v>
      </c>
      <c r="J49" s="76">
        <v>17.8</v>
      </c>
      <c r="K49" s="77">
        <v>17.899999999999999</v>
      </c>
    </row>
    <row r="50" spans="1:25" ht="46.5" customHeight="1" x14ac:dyDescent="0.25">
      <c r="A50" s="218"/>
      <c r="B50" s="210" t="s">
        <v>24</v>
      </c>
      <c r="C50" s="211"/>
      <c r="D50" s="74">
        <v>6.28</v>
      </c>
      <c r="E50" s="74">
        <v>6.8</v>
      </c>
      <c r="F50" s="76">
        <v>7</v>
      </c>
      <c r="G50" s="77">
        <v>5.3</v>
      </c>
      <c r="H50" s="76">
        <v>4.8</v>
      </c>
      <c r="I50" s="76">
        <v>5.3</v>
      </c>
      <c r="J50" s="76">
        <v>5.6</v>
      </c>
      <c r="K50" s="77">
        <v>5.8</v>
      </c>
    </row>
    <row r="51" spans="1:25" ht="42" customHeight="1" x14ac:dyDescent="0.25">
      <c r="A51" s="218"/>
      <c r="B51" s="213" t="s">
        <v>25</v>
      </c>
      <c r="C51" s="214"/>
      <c r="D51" s="74">
        <v>1.3</v>
      </c>
      <c r="E51" s="82">
        <v>1.5</v>
      </c>
      <c r="F51" s="82">
        <v>1.4</v>
      </c>
      <c r="G51" s="83">
        <v>0.6</v>
      </c>
      <c r="H51" s="82">
        <v>1.6</v>
      </c>
      <c r="I51" s="82">
        <v>1.8</v>
      </c>
      <c r="J51" s="82">
        <v>2</v>
      </c>
      <c r="K51" s="83">
        <v>2.1</v>
      </c>
    </row>
    <row r="52" spans="1:25" ht="30" customHeight="1" x14ac:dyDescent="0.25">
      <c r="A52" s="212" t="s">
        <v>8</v>
      </c>
      <c r="B52" s="215" t="s">
        <v>21</v>
      </c>
      <c r="C52" s="216"/>
      <c r="D52" s="78">
        <v>73.290000000000006</v>
      </c>
      <c r="E52" s="79">
        <v>72.3</v>
      </c>
      <c r="F52" s="79">
        <v>73</v>
      </c>
      <c r="G52" s="164">
        <v>72.3</v>
      </c>
      <c r="H52" s="204">
        <v>72.8</v>
      </c>
      <c r="I52" s="79">
        <v>71.599999999999994</v>
      </c>
      <c r="J52" s="79">
        <v>70</v>
      </c>
      <c r="K52" s="80">
        <v>69.099999999999994</v>
      </c>
    </row>
    <row r="53" spans="1:25" ht="33" customHeight="1" x14ac:dyDescent="0.25">
      <c r="A53" s="212"/>
      <c r="B53" s="210" t="s">
        <v>22</v>
      </c>
      <c r="C53" s="211"/>
      <c r="D53" s="76">
        <v>11.25</v>
      </c>
      <c r="E53" s="76">
        <v>7.8</v>
      </c>
      <c r="F53" s="76">
        <v>7.2</v>
      </c>
      <c r="G53" s="92">
        <v>7.9</v>
      </c>
      <c r="H53" s="57">
        <v>8.9</v>
      </c>
      <c r="I53" s="76">
        <v>9.1</v>
      </c>
      <c r="J53" s="76">
        <v>9.3000000000000007</v>
      </c>
      <c r="K53" s="77">
        <v>9.1</v>
      </c>
    </row>
    <row r="54" spans="1:25" ht="45" customHeight="1" x14ac:dyDescent="0.25">
      <c r="A54" s="212"/>
      <c r="B54" s="210" t="s">
        <v>23</v>
      </c>
      <c r="C54" s="211"/>
      <c r="D54" s="76">
        <v>6.37</v>
      </c>
      <c r="E54" s="76">
        <v>12.2</v>
      </c>
      <c r="F54" s="76">
        <v>11.2</v>
      </c>
      <c r="G54" s="92">
        <v>11.4</v>
      </c>
      <c r="H54" s="57">
        <v>10.6</v>
      </c>
      <c r="I54" s="76">
        <v>11.3</v>
      </c>
      <c r="J54" s="76">
        <v>12.1</v>
      </c>
      <c r="K54" s="77">
        <v>12.6</v>
      </c>
    </row>
    <row r="55" spans="1:25" ht="47.25" customHeight="1" x14ac:dyDescent="0.25">
      <c r="A55" s="212"/>
      <c r="B55" s="210" t="s">
        <v>24</v>
      </c>
      <c r="C55" s="211"/>
      <c r="D55" s="76">
        <v>6.77</v>
      </c>
      <c r="E55" s="76">
        <v>5.6</v>
      </c>
      <c r="F55" s="76">
        <v>6.5</v>
      </c>
      <c r="G55" s="92">
        <v>6.8</v>
      </c>
      <c r="H55" s="57">
        <v>5.4</v>
      </c>
      <c r="I55" s="76">
        <v>5.6</v>
      </c>
      <c r="J55" s="76">
        <v>6</v>
      </c>
      <c r="K55" s="77">
        <v>6.1</v>
      </c>
    </row>
    <row r="56" spans="1:25" ht="45" customHeight="1" x14ac:dyDescent="0.25">
      <c r="A56" s="212"/>
      <c r="B56" s="213" t="s">
        <v>25</v>
      </c>
      <c r="C56" s="214"/>
      <c r="D56" s="82">
        <v>2.31</v>
      </c>
      <c r="E56" s="82">
        <v>1.8</v>
      </c>
      <c r="F56" s="82">
        <v>2</v>
      </c>
      <c r="G56" s="83">
        <v>1.4</v>
      </c>
      <c r="H56" s="82">
        <v>2.1</v>
      </c>
      <c r="I56" s="82">
        <v>2.2000000000000002</v>
      </c>
      <c r="J56" s="82">
        <v>2.4</v>
      </c>
      <c r="K56" s="83">
        <v>2.7</v>
      </c>
    </row>
    <row r="57" spans="1:25" ht="15" customHeight="1" x14ac:dyDescent="0.25">
      <c r="A57" s="209" t="s">
        <v>182</v>
      </c>
      <c r="B57" s="209"/>
      <c r="C57" s="209"/>
      <c r="D57" s="209"/>
      <c r="E57" s="209"/>
      <c r="F57" s="209"/>
      <c r="G57" s="11"/>
      <c r="H57" s="11"/>
      <c r="I57" s="11"/>
    </row>
    <row r="58" spans="1:25" x14ac:dyDescent="0.25">
      <c r="A58" s="47"/>
      <c r="B58" s="48"/>
      <c r="C58" s="48"/>
      <c r="D58" s="11"/>
      <c r="E58" s="11"/>
      <c r="F58" s="11"/>
      <c r="G58" s="11"/>
      <c r="H58" s="11"/>
      <c r="I58" s="11"/>
    </row>
    <row r="59" spans="1:25" x14ac:dyDescent="0.25">
      <c r="A59" s="254" t="s">
        <v>209</v>
      </c>
      <c r="B59" s="254"/>
      <c r="C59" s="254"/>
      <c r="D59" s="254"/>
      <c r="E59" s="254"/>
      <c r="F59" s="254"/>
      <c r="G59" s="254"/>
      <c r="H59" s="254"/>
      <c r="I59" s="254"/>
      <c r="J59" s="254"/>
    </row>
    <row r="60" spans="1:25" x14ac:dyDescent="0.25">
      <c r="A60" s="167"/>
      <c r="B60" s="251" t="s">
        <v>203</v>
      </c>
      <c r="C60" s="251"/>
      <c r="D60" s="251"/>
      <c r="E60" s="251"/>
      <c r="F60" s="251"/>
      <c r="G60" s="252"/>
      <c r="H60" s="251" t="s">
        <v>204</v>
      </c>
      <c r="I60" s="251"/>
      <c r="J60" s="251"/>
      <c r="K60" s="251"/>
      <c r="L60" s="251"/>
      <c r="M60" s="252"/>
      <c r="N60" s="250" t="s">
        <v>207</v>
      </c>
      <c r="O60" s="251"/>
      <c r="P60" s="251"/>
      <c r="Q60" s="251"/>
      <c r="R60" s="251"/>
      <c r="S60" s="252"/>
      <c r="T60" s="250" t="s">
        <v>206</v>
      </c>
      <c r="U60" s="251"/>
      <c r="V60" s="251"/>
      <c r="W60" s="251"/>
      <c r="X60" s="251"/>
      <c r="Y60" s="252"/>
    </row>
    <row r="61" spans="1:25" ht="126" customHeight="1" x14ac:dyDescent="0.25">
      <c r="A61" s="258"/>
      <c r="B61" s="233" t="s">
        <v>27</v>
      </c>
      <c r="C61" s="233"/>
      <c r="D61" s="233" t="s">
        <v>28</v>
      </c>
      <c r="E61" s="233"/>
      <c r="F61" s="233" t="s">
        <v>153</v>
      </c>
      <c r="G61" s="229"/>
      <c r="H61" s="233" t="s">
        <v>27</v>
      </c>
      <c r="I61" s="233"/>
      <c r="J61" s="233" t="s">
        <v>28</v>
      </c>
      <c r="K61" s="233"/>
      <c r="L61" s="233" t="s">
        <v>153</v>
      </c>
      <c r="M61" s="229"/>
      <c r="N61" s="233" t="s">
        <v>27</v>
      </c>
      <c r="O61" s="233"/>
      <c r="P61" s="233" t="s">
        <v>28</v>
      </c>
      <c r="Q61" s="233"/>
      <c r="R61" s="249" t="s">
        <v>153</v>
      </c>
      <c r="S61" s="253"/>
      <c r="T61" s="233" t="s">
        <v>27</v>
      </c>
      <c r="U61" s="233"/>
      <c r="V61" s="233" t="s">
        <v>28</v>
      </c>
      <c r="W61" s="233"/>
      <c r="X61" s="233" t="s">
        <v>153</v>
      </c>
      <c r="Y61" s="229"/>
    </row>
    <row r="62" spans="1:25" ht="30" x14ac:dyDescent="0.25">
      <c r="A62" s="259"/>
      <c r="B62" s="16" t="s">
        <v>4</v>
      </c>
      <c r="C62" s="168" t="s">
        <v>5</v>
      </c>
      <c r="D62" s="168" t="s">
        <v>4</v>
      </c>
      <c r="E62" s="168" t="s">
        <v>5</v>
      </c>
      <c r="F62" s="161" t="s">
        <v>4</v>
      </c>
      <c r="G62" s="160" t="s">
        <v>5</v>
      </c>
      <c r="H62" s="16" t="s">
        <v>4</v>
      </c>
      <c r="I62" s="17" t="s">
        <v>5</v>
      </c>
      <c r="J62" s="17" t="s">
        <v>4</v>
      </c>
      <c r="K62" s="17" t="s">
        <v>5</v>
      </c>
      <c r="L62" s="9" t="s">
        <v>4</v>
      </c>
      <c r="M62" s="18" t="s">
        <v>5</v>
      </c>
      <c r="N62" s="16" t="s">
        <v>4</v>
      </c>
      <c r="O62" s="17" t="s">
        <v>5</v>
      </c>
      <c r="P62" s="17" t="s">
        <v>4</v>
      </c>
      <c r="Q62" s="17" t="s">
        <v>5</v>
      </c>
      <c r="R62" s="20" t="s">
        <v>4</v>
      </c>
      <c r="S62" s="18" t="s">
        <v>5</v>
      </c>
      <c r="T62" s="16" t="s">
        <v>4</v>
      </c>
      <c r="U62" s="17" t="s">
        <v>5</v>
      </c>
      <c r="V62" s="17" t="s">
        <v>4</v>
      </c>
      <c r="W62" s="17" t="s">
        <v>5</v>
      </c>
      <c r="X62" s="34" t="s">
        <v>4</v>
      </c>
      <c r="Y62" s="18" t="s">
        <v>5</v>
      </c>
    </row>
    <row r="63" spans="1:25" ht="30" x14ac:dyDescent="0.25">
      <c r="A63" s="7" t="s">
        <v>12</v>
      </c>
      <c r="B63" s="74">
        <v>10.74</v>
      </c>
      <c r="C63" s="127">
        <v>9.4</v>
      </c>
      <c r="D63" s="74">
        <v>7.95</v>
      </c>
      <c r="E63" s="127">
        <v>7.2</v>
      </c>
      <c r="F63" s="74">
        <v>96.35</v>
      </c>
      <c r="G63" s="135">
        <v>91</v>
      </c>
      <c r="H63" s="74">
        <v>8.6999999999999993</v>
      </c>
      <c r="I63" s="127">
        <v>9.4</v>
      </c>
      <c r="J63" s="74">
        <v>6.9</v>
      </c>
      <c r="K63" s="127">
        <v>7.1</v>
      </c>
      <c r="L63" s="74">
        <v>87.3</v>
      </c>
      <c r="M63" s="152">
        <v>90.9</v>
      </c>
      <c r="N63" s="57">
        <v>8</v>
      </c>
      <c r="O63" s="126">
        <v>9.8000000000000007</v>
      </c>
      <c r="P63" s="57">
        <v>6.1</v>
      </c>
      <c r="Q63" s="126">
        <v>7</v>
      </c>
      <c r="R63" s="57">
        <v>91.8</v>
      </c>
      <c r="S63" s="152">
        <v>89.7</v>
      </c>
      <c r="T63" s="76">
        <v>8.1</v>
      </c>
      <c r="U63" s="126">
        <v>10</v>
      </c>
      <c r="V63" s="76">
        <v>5.4</v>
      </c>
      <c r="W63" s="126">
        <v>6.9</v>
      </c>
      <c r="X63" s="76">
        <v>84.9</v>
      </c>
      <c r="Y63" s="152">
        <v>87</v>
      </c>
    </row>
    <row r="64" spans="1:25" ht="45" x14ac:dyDescent="0.25">
      <c r="A64" s="8" t="s">
        <v>13</v>
      </c>
      <c r="B64" s="74">
        <v>19.73</v>
      </c>
      <c r="C64" s="127">
        <v>16.399999999999999</v>
      </c>
      <c r="D64" s="74">
        <v>15.88</v>
      </c>
      <c r="E64" s="127">
        <v>10.7</v>
      </c>
      <c r="F64" s="74">
        <v>90.45</v>
      </c>
      <c r="G64" s="135">
        <v>74.5</v>
      </c>
      <c r="H64" s="74">
        <v>20.7</v>
      </c>
      <c r="I64" s="127">
        <v>17</v>
      </c>
      <c r="J64" s="74">
        <v>16.2</v>
      </c>
      <c r="K64" s="127">
        <v>10.7</v>
      </c>
      <c r="L64" s="74">
        <v>85.5</v>
      </c>
      <c r="M64" s="135">
        <v>70.7</v>
      </c>
      <c r="N64" s="57">
        <v>18.3</v>
      </c>
      <c r="O64" s="126">
        <v>17.7</v>
      </c>
      <c r="P64" s="57">
        <v>13.9</v>
      </c>
      <c r="Q64" s="126">
        <v>10.8</v>
      </c>
      <c r="R64" s="57">
        <v>82.4</v>
      </c>
      <c r="S64" s="135">
        <v>69.099999999999994</v>
      </c>
      <c r="T64" s="76">
        <v>21.4</v>
      </c>
      <c r="U64" s="126">
        <v>16.7</v>
      </c>
      <c r="V64" s="76">
        <v>15.5</v>
      </c>
      <c r="W64" s="126">
        <v>10.9</v>
      </c>
      <c r="X64" s="76">
        <v>81.5</v>
      </c>
      <c r="Y64" s="135">
        <v>68</v>
      </c>
    </row>
    <row r="65" spans="1:25" ht="45" x14ac:dyDescent="0.25">
      <c r="A65" s="8" t="s">
        <v>14</v>
      </c>
      <c r="B65" s="81">
        <v>12.77</v>
      </c>
      <c r="C65" s="128">
        <v>17.8</v>
      </c>
      <c r="D65" s="82">
        <v>10.15</v>
      </c>
      <c r="E65" s="126">
        <v>14</v>
      </c>
      <c r="F65" s="74">
        <v>76.36</v>
      </c>
      <c r="G65" s="135">
        <v>82.2</v>
      </c>
      <c r="H65" s="76">
        <v>14.6</v>
      </c>
      <c r="I65" s="126">
        <v>17.2</v>
      </c>
      <c r="J65" s="76">
        <v>11.5</v>
      </c>
      <c r="K65" s="126">
        <v>13.3</v>
      </c>
      <c r="L65" s="76">
        <v>74.3</v>
      </c>
      <c r="M65" s="135">
        <v>82.6</v>
      </c>
      <c r="N65" s="57">
        <v>11.4</v>
      </c>
      <c r="O65" s="126">
        <v>17.3</v>
      </c>
      <c r="P65" s="57">
        <v>8.4</v>
      </c>
      <c r="Q65" s="126">
        <v>13.3</v>
      </c>
      <c r="R65" s="57">
        <v>70.400000000000006</v>
      </c>
      <c r="S65" s="135">
        <v>81.8</v>
      </c>
      <c r="T65" s="76">
        <v>10.6</v>
      </c>
      <c r="U65" s="126">
        <v>17.100000000000001</v>
      </c>
      <c r="V65" s="76">
        <v>7.4</v>
      </c>
      <c r="W65" s="126">
        <v>13</v>
      </c>
      <c r="X65" s="76">
        <v>52.2</v>
      </c>
      <c r="Y65" s="135">
        <v>81</v>
      </c>
    </row>
    <row r="66" spans="1:25" ht="30" x14ac:dyDescent="0.25">
      <c r="A66" s="5" t="s">
        <v>201</v>
      </c>
      <c r="B66" s="165">
        <v>14.12</v>
      </c>
      <c r="C66" s="165">
        <v>12.5</v>
      </c>
      <c r="D66" s="195">
        <v>11</v>
      </c>
      <c r="E66" s="195">
        <v>9.1</v>
      </c>
      <c r="F66" s="195">
        <v>90.54</v>
      </c>
      <c r="G66" s="195">
        <v>82.8</v>
      </c>
      <c r="H66" s="194">
        <v>13.3</v>
      </c>
      <c r="I66" s="195">
        <v>12.5</v>
      </c>
      <c r="J66" s="195">
        <v>10.5</v>
      </c>
      <c r="K66" s="195">
        <v>8.9</v>
      </c>
      <c r="L66" s="195">
        <v>83.9</v>
      </c>
      <c r="M66" s="195">
        <v>81.3</v>
      </c>
      <c r="N66" s="194">
        <v>11.6</v>
      </c>
      <c r="O66" s="195">
        <v>13</v>
      </c>
      <c r="P66" s="195">
        <v>8.8000000000000007</v>
      </c>
      <c r="Q66" s="195">
        <v>8.9</v>
      </c>
      <c r="R66" s="195">
        <v>83.4</v>
      </c>
      <c r="S66" s="195">
        <v>80</v>
      </c>
      <c r="T66" s="194">
        <v>12.3</v>
      </c>
      <c r="U66" s="195">
        <v>12.8</v>
      </c>
      <c r="V66" s="195">
        <v>8.6</v>
      </c>
      <c r="W66" s="195">
        <v>8.8000000000000007</v>
      </c>
      <c r="X66" s="195">
        <v>77.7</v>
      </c>
      <c r="Y66" s="196">
        <v>78.400000000000006</v>
      </c>
    </row>
    <row r="67" spans="1:25" ht="15" customHeight="1" x14ac:dyDescent="0.25">
      <c r="A67" s="209" t="s">
        <v>182</v>
      </c>
      <c r="B67" s="209"/>
      <c r="C67" s="209"/>
      <c r="D67" s="209"/>
      <c r="E67" s="245"/>
      <c r="F67" s="245"/>
      <c r="G67" s="1"/>
    </row>
    <row r="68" spans="1:25" x14ac:dyDescent="0.25">
      <c r="A68" s="245" t="s">
        <v>199</v>
      </c>
      <c r="B68" s="245"/>
      <c r="C68" s="245"/>
      <c r="D68" s="245"/>
      <c r="E68" s="245"/>
      <c r="F68" s="245"/>
      <c r="G68" s="245"/>
      <c r="H68" s="245"/>
      <c r="I68" s="245"/>
      <c r="J68" s="245"/>
      <c r="K68" s="245"/>
    </row>
  </sheetData>
  <mergeCells count="79">
    <mergeCell ref="A68:K68"/>
    <mergeCell ref="A20:G20"/>
    <mergeCell ref="A59:J59"/>
    <mergeCell ref="A30:K30"/>
    <mergeCell ref="L23:M23"/>
    <mergeCell ref="L61:M61"/>
    <mergeCell ref="H60:M60"/>
    <mergeCell ref="H61:I61"/>
    <mergeCell ref="J61:K61"/>
    <mergeCell ref="J23:K23"/>
    <mergeCell ref="A67:F67"/>
    <mergeCell ref="A61:A62"/>
    <mergeCell ref="B43:C43"/>
    <mergeCell ref="B60:G60"/>
    <mergeCell ref="B61:C61"/>
    <mergeCell ref="D61:E61"/>
    <mergeCell ref="T60:Y60"/>
    <mergeCell ref="T61:U61"/>
    <mergeCell ref="V61:W61"/>
    <mergeCell ref="X61:Y61"/>
    <mergeCell ref="R61:S61"/>
    <mergeCell ref="N60:S60"/>
    <mergeCell ref="N61:O61"/>
    <mergeCell ref="P61:Q61"/>
    <mergeCell ref="A9:F9"/>
    <mergeCell ref="A19:F19"/>
    <mergeCell ref="A29:F29"/>
    <mergeCell ref="B45:C46"/>
    <mergeCell ref="A47:A51"/>
    <mergeCell ref="B35:C35"/>
    <mergeCell ref="B36:C36"/>
    <mergeCell ref="B44:C44"/>
    <mergeCell ref="B37:C37"/>
    <mergeCell ref="A45:A46"/>
    <mergeCell ref="B51:C51"/>
    <mergeCell ref="B47:C47"/>
    <mergeCell ref="B48:C48"/>
    <mergeCell ref="B49:C49"/>
    <mergeCell ref="B38:C38"/>
    <mergeCell ref="B39:C39"/>
    <mergeCell ref="F61:G61"/>
    <mergeCell ref="F2:G3"/>
    <mergeCell ref="A13:A14"/>
    <mergeCell ref="B13:C13"/>
    <mergeCell ref="D13:E13"/>
    <mergeCell ref="F13:G13"/>
    <mergeCell ref="A2:A4"/>
    <mergeCell ref="B2:C3"/>
    <mergeCell ref="D2:E3"/>
    <mergeCell ref="A10:I10"/>
    <mergeCell ref="A23:A24"/>
    <mergeCell ref="B23:C23"/>
    <mergeCell ref="D23:E23"/>
    <mergeCell ref="F23:G23"/>
    <mergeCell ref="H23:I23"/>
    <mergeCell ref="D33:F33"/>
    <mergeCell ref="A1:F1"/>
    <mergeCell ref="A12:G12"/>
    <mergeCell ref="B50:C50"/>
    <mergeCell ref="A40:A44"/>
    <mergeCell ref="B40:C40"/>
    <mergeCell ref="A32:I32"/>
    <mergeCell ref="A33:A34"/>
    <mergeCell ref="B33:C34"/>
    <mergeCell ref="B41:C41"/>
    <mergeCell ref="B42:C42"/>
    <mergeCell ref="A35:A39"/>
    <mergeCell ref="H33:K33"/>
    <mergeCell ref="D45:G45"/>
    <mergeCell ref="H45:K45"/>
    <mergeCell ref="H2:I3"/>
    <mergeCell ref="A22:K22"/>
    <mergeCell ref="A57:F57"/>
    <mergeCell ref="B53:C53"/>
    <mergeCell ref="B54:C54"/>
    <mergeCell ref="A52:A56"/>
    <mergeCell ref="B55:C55"/>
    <mergeCell ref="B56:C56"/>
    <mergeCell ref="B52:C52"/>
  </mergeCells>
  <pageMargins left="0.7" right="0.7" top="0.75" bottom="0.75" header="0.3" footer="0.3"/>
  <pageSetup paperSize="9" scale="55" fitToHeight="0" orientation="landscape" r:id="rId1"/>
  <rowBreaks count="3" manualBreakCount="3">
    <brk id="21" max="16383" man="1"/>
    <brk id="44" max="16383" man="1"/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H22" sqref="H22"/>
    </sheetView>
  </sheetViews>
  <sheetFormatPr defaultColWidth="9.140625" defaultRowHeight="15" x14ac:dyDescent="0.25"/>
  <cols>
    <col min="1" max="1" width="39.5703125" style="36" customWidth="1"/>
    <col min="2" max="13" width="18.28515625" style="36" customWidth="1"/>
    <col min="14" max="16384" width="9.140625" style="36"/>
  </cols>
  <sheetData>
    <row r="1" spans="1:14" x14ac:dyDescent="0.25">
      <c r="A1" s="254" t="s">
        <v>202</v>
      </c>
      <c r="B1" s="254"/>
      <c r="C1" s="254"/>
      <c r="D1" s="254"/>
      <c r="E1" s="254"/>
      <c r="F1" s="254"/>
    </row>
    <row r="2" spans="1:14" x14ac:dyDescent="0.25">
      <c r="B2" s="260" t="s">
        <v>203</v>
      </c>
      <c r="C2" s="261"/>
      <c r="D2" s="262"/>
      <c r="E2" s="261" t="s">
        <v>204</v>
      </c>
      <c r="F2" s="261"/>
      <c r="G2" s="262"/>
      <c r="H2" s="260" t="s">
        <v>205</v>
      </c>
      <c r="I2" s="261"/>
      <c r="J2" s="262"/>
      <c r="K2" s="260" t="s">
        <v>206</v>
      </c>
      <c r="L2" s="261"/>
      <c r="M2" s="262"/>
    </row>
    <row r="3" spans="1:14" ht="75" x14ac:dyDescent="0.25">
      <c r="A3" s="38" t="s">
        <v>29</v>
      </c>
      <c r="B3" s="39" t="s">
        <v>46</v>
      </c>
      <c r="C3" s="39" t="s">
        <v>17</v>
      </c>
      <c r="D3" s="40" t="s">
        <v>197</v>
      </c>
      <c r="E3" s="39" t="s">
        <v>46</v>
      </c>
      <c r="F3" s="39" t="s">
        <v>17</v>
      </c>
      <c r="G3" s="40" t="s">
        <v>197</v>
      </c>
      <c r="H3" s="39" t="s">
        <v>46</v>
      </c>
      <c r="I3" s="39" t="s">
        <v>17</v>
      </c>
      <c r="J3" s="40" t="s">
        <v>197</v>
      </c>
      <c r="K3" s="39" t="s">
        <v>46</v>
      </c>
      <c r="L3" s="39" t="s">
        <v>17</v>
      </c>
      <c r="M3" s="40" t="s">
        <v>197</v>
      </c>
      <c r="N3" s="69"/>
    </row>
    <row r="4" spans="1:14" x14ac:dyDescent="0.25">
      <c r="A4" s="97" t="s">
        <v>30</v>
      </c>
      <c r="B4" s="90">
        <v>86.44</v>
      </c>
      <c r="C4" s="90">
        <v>89.83</v>
      </c>
      <c r="D4" s="164">
        <v>86.44</v>
      </c>
      <c r="E4" s="90">
        <f>51.6+35.9</f>
        <v>87.5</v>
      </c>
      <c r="F4" s="90">
        <f>35.9+51.6</f>
        <v>87.5</v>
      </c>
      <c r="G4" s="90">
        <f>56.3+39.1</f>
        <v>95.4</v>
      </c>
      <c r="H4" s="91">
        <f>37.5+51.8</f>
        <v>89.3</v>
      </c>
      <c r="I4" s="57">
        <f>33.9+58.9</f>
        <v>92.8</v>
      </c>
      <c r="J4" s="92">
        <f>46.4+42.9</f>
        <v>89.3</v>
      </c>
      <c r="K4" s="91">
        <f>45.5+47</f>
        <v>92.5</v>
      </c>
      <c r="L4" s="57">
        <f>27.3+62.1</f>
        <v>89.4</v>
      </c>
      <c r="M4" s="92">
        <f>43.9+40.9</f>
        <v>84.8</v>
      </c>
    </row>
    <row r="5" spans="1:14" x14ac:dyDescent="0.25">
      <c r="A5" s="97" t="s">
        <v>39</v>
      </c>
      <c r="B5" s="90">
        <v>94.09</v>
      </c>
      <c r="C5" s="90">
        <v>90.32</v>
      </c>
      <c r="D5" s="92">
        <v>86.56</v>
      </c>
      <c r="E5" s="90">
        <f>43.3+50.2</f>
        <v>93.5</v>
      </c>
      <c r="F5" s="90">
        <f>25.5+61</f>
        <v>86.5</v>
      </c>
      <c r="G5" s="90">
        <f>35.9+35.9</f>
        <v>71.8</v>
      </c>
      <c r="H5" s="91">
        <f>40.2+51.5</f>
        <v>91.7</v>
      </c>
      <c r="I5" s="57">
        <f>22.8+60.2</f>
        <v>83</v>
      </c>
      <c r="J5" s="92">
        <f>24.5+54.8</f>
        <v>79.3</v>
      </c>
      <c r="K5" s="91">
        <f>48.9+44.4</f>
        <v>93.3</v>
      </c>
      <c r="L5" s="57">
        <f>23.9+63.3</f>
        <v>87.199999999999989</v>
      </c>
      <c r="M5" s="92">
        <f>37.2+50.6</f>
        <v>87.800000000000011</v>
      </c>
    </row>
    <row r="6" spans="1:14" x14ac:dyDescent="0.25">
      <c r="A6" s="97" t="s">
        <v>31</v>
      </c>
      <c r="B6" s="90">
        <v>89.67</v>
      </c>
      <c r="C6" s="90">
        <v>86.78</v>
      </c>
      <c r="D6" s="92">
        <v>89.67</v>
      </c>
      <c r="E6" s="90">
        <f>55.5+38.9</f>
        <v>94.4</v>
      </c>
      <c r="F6" s="90">
        <f>30.1+61.6</f>
        <v>91.7</v>
      </c>
      <c r="G6" s="90">
        <f>52.8+37.1</f>
        <v>89.9</v>
      </c>
      <c r="H6" s="91">
        <f>42.9+49.8</f>
        <v>92.699999999999989</v>
      </c>
      <c r="I6" s="57">
        <f>19+70.6</f>
        <v>89.6</v>
      </c>
      <c r="J6" s="92">
        <f>40.7+51.5</f>
        <v>92.2</v>
      </c>
      <c r="K6" s="91">
        <f>41.9+47.6</f>
        <v>89.5</v>
      </c>
      <c r="L6" s="57">
        <f>19.8+68.1</f>
        <v>87.899999999999991</v>
      </c>
      <c r="M6" s="92">
        <f>39.1+51.2</f>
        <v>90.300000000000011</v>
      </c>
    </row>
    <row r="7" spans="1:14" ht="30" x14ac:dyDescent="0.25">
      <c r="A7" s="97" t="s">
        <v>44</v>
      </c>
      <c r="B7" s="90">
        <v>86.03</v>
      </c>
      <c r="C7" s="90">
        <v>84.36</v>
      </c>
      <c r="D7" s="92">
        <v>87.71</v>
      </c>
      <c r="E7" s="90">
        <f>54.8+38.1</f>
        <v>92.9</v>
      </c>
      <c r="F7" s="90">
        <f>41.3+52.9</f>
        <v>94.199999999999989</v>
      </c>
      <c r="G7" s="90">
        <f>46.5+40.6</f>
        <v>87.1</v>
      </c>
      <c r="H7" s="91">
        <f>58.1+36</f>
        <v>94.1</v>
      </c>
      <c r="I7" s="57">
        <f>36+56.6</f>
        <v>92.6</v>
      </c>
      <c r="J7" s="92">
        <f>37.5+53.7</f>
        <v>91.2</v>
      </c>
      <c r="K7" s="91">
        <f>47.9+48.9</f>
        <v>96.8</v>
      </c>
      <c r="L7" s="57">
        <f>40.4+57.4</f>
        <v>97.8</v>
      </c>
      <c r="M7" s="92">
        <f>43.6+45.7</f>
        <v>89.300000000000011</v>
      </c>
    </row>
    <row r="8" spans="1:14" x14ac:dyDescent="0.25">
      <c r="A8" s="97" t="s">
        <v>32</v>
      </c>
      <c r="B8" s="90">
        <v>88.59</v>
      </c>
      <c r="C8" s="90">
        <v>84.24</v>
      </c>
      <c r="D8" s="92">
        <v>88.59</v>
      </c>
      <c r="E8" s="90">
        <f>54.2+37.3</f>
        <v>91.5</v>
      </c>
      <c r="F8" s="90">
        <f>38.6+51.4</f>
        <v>90</v>
      </c>
      <c r="G8" s="90">
        <f>50.2+38.6</f>
        <v>88.800000000000011</v>
      </c>
      <c r="H8" s="91">
        <f>49.6+44.3</f>
        <v>93.9</v>
      </c>
      <c r="I8" s="57">
        <f>31.7+58.3</f>
        <v>90</v>
      </c>
      <c r="J8" s="92">
        <f>33.5+50.4</f>
        <v>83.9</v>
      </c>
      <c r="K8" s="91">
        <f>53+41</f>
        <v>94</v>
      </c>
      <c r="L8" s="57">
        <f>30.8+59</f>
        <v>89.8</v>
      </c>
      <c r="M8" s="92">
        <f>38+50.9</f>
        <v>88.9</v>
      </c>
    </row>
    <row r="9" spans="1:14" ht="30" x14ac:dyDescent="0.25">
      <c r="A9" s="97" t="s">
        <v>33</v>
      </c>
      <c r="B9" s="90">
        <v>90.57</v>
      </c>
      <c r="C9" s="90">
        <v>88.68</v>
      </c>
      <c r="D9" s="92">
        <v>89.94</v>
      </c>
      <c r="E9" s="90">
        <f>33.3+57.6</f>
        <v>90.9</v>
      </c>
      <c r="F9" s="90">
        <f>26.1+66.7</f>
        <v>92.800000000000011</v>
      </c>
      <c r="G9" s="90">
        <f>30.9+49.1</f>
        <v>80</v>
      </c>
      <c r="H9" s="91">
        <f>35.3+56.1</f>
        <v>91.4</v>
      </c>
      <c r="I9" s="57">
        <f>28.1+65.5</f>
        <v>93.6</v>
      </c>
      <c r="J9" s="92">
        <f>29.5+49.6</f>
        <v>79.099999999999994</v>
      </c>
      <c r="K9" s="91">
        <f>30.7+60.8</f>
        <v>91.5</v>
      </c>
      <c r="L9" s="57">
        <f>24.8+65.4</f>
        <v>90.2</v>
      </c>
      <c r="M9" s="92">
        <f>22.2+50.3</f>
        <v>72.5</v>
      </c>
    </row>
    <row r="10" spans="1:14" x14ac:dyDescent="0.25">
      <c r="A10" s="97" t="s">
        <v>43</v>
      </c>
      <c r="B10" s="90">
        <v>92.31</v>
      </c>
      <c r="C10" s="90">
        <v>89.23</v>
      </c>
      <c r="D10" s="92">
        <v>92.31</v>
      </c>
      <c r="E10" s="90">
        <f>41.5+48.1</f>
        <v>89.6</v>
      </c>
      <c r="F10" s="90">
        <f>30.4+64.4</f>
        <v>94.800000000000011</v>
      </c>
      <c r="G10" s="90">
        <f>43.7+39.3</f>
        <v>83</v>
      </c>
      <c r="H10" s="91">
        <f>39.6+49.6</f>
        <v>89.2</v>
      </c>
      <c r="I10" s="57">
        <f>23+67.6</f>
        <v>90.6</v>
      </c>
      <c r="J10" s="92">
        <f>23.7+59.7</f>
        <v>83.4</v>
      </c>
      <c r="K10" s="91">
        <f>39.2+52</f>
        <v>91.2</v>
      </c>
      <c r="L10" s="57">
        <f>25.6+68.8</f>
        <v>94.4</v>
      </c>
      <c r="M10" s="92">
        <f>27.2+56</f>
        <v>83.2</v>
      </c>
    </row>
    <row r="11" spans="1:14" ht="30" x14ac:dyDescent="0.25">
      <c r="A11" s="97" t="s">
        <v>45</v>
      </c>
      <c r="B11" s="90">
        <v>92.61</v>
      </c>
      <c r="C11" s="90">
        <v>92.61</v>
      </c>
      <c r="D11" s="92">
        <v>87.94</v>
      </c>
      <c r="E11" s="90">
        <f>44.2+47</f>
        <v>91.2</v>
      </c>
      <c r="F11" s="90">
        <f>35+55.3</f>
        <v>90.3</v>
      </c>
      <c r="G11" s="90">
        <f>49.8+40.1</f>
        <v>89.9</v>
      </c>
      <c r="H11" s="91">
        <f>54.3+37.8</f>
        <v>92.1</v>
      </c>
      <c r="I11" s="57">
        <f>40.4+55.9</f>
        <v>96.3</v>
      </c>
      <c r="J11" s="92">
        <f>47.3+44.1</f>
        <v>91.4</v>
      </c>
      <c r="K11" s="91">
        <f>54+40.2</f>
        <v>94.2</v>
      </c>
      <c r="L11" s="57">
        <f>36.5+61.9</f>
        <v>98.4</v>
      </c>
      <c r="M11" s="92">
        <f>45.5+43.9</f>
        <v>89.4</v>
      </c>
    </row>
    <row r="12" spans="1:14" x14ac:dyDescent="0.25">
      <c r="A12" s="97" t="s">
        <v>34</v>
      </c>
      <c r="B12" s="90">
        <v>94.12</v>
      </c>
      <c r="C12" s="90">
        <v>88.24</v>
      </c>
      <c r="D12" s="92">
        <v>89.41</v>
      </c>
      <c r="E12" s="90">
        <f>62.3+36.2</f>
        <v>98.5</v>
      </c>
      <c r="F12" s="90">
        <f>36.2+60.9</f>
        <v>97.1</v>
      </c>
      <c r="G12" s="90">
        <f>55.1+30.4</f>
        <v>85.5</v>
      </c>
      <c r="H12" s="91">
        <f>47.5+45.5</f>
        <v>93</v>
      </c>
      <c r="I12" s="57">
        <f>39.4+53.5</f>
        <v>92.9</v>
      </c>
      <c r="J12" s="93">
        <f>39.4+47.5</f>
        <v>86.9</v>
      </c>
      <c r="K12" s="91">
        <f>32.6+58.4</f>
        <v>91</v>
      </c>
      <c r="L12" s="57">
        <f>25.8+64</f>
        <v>89.8</v>
      </c>
      <c r="M12" s="93">
        <f>28.1+42.7</f>
        <v>70.800000000000011</v>
      </c>
    </row>
    <row r="13" spans="1:14" ht="18.75" customHeight="1" x14ac:dyDescent="0.25">
      <c r="A13" s="97" t="s">
        <v>40</v>
      </c>
      <c r="B13" s="90">
        <v>75.64</v>
      </c>
      <c r="C13" s="90">
        <v>85.9</v>
      </c>
      <c r="D13" s="92">
        <v>80.77</v>
      </c>
      <c r="E13" s="90">
        <f>46.7+48.3</f>
        <v>95</v>
      </c>
      <c r="F13" s="90">
        <f>41.7+56.7</f>
        <v>98.4</v>
      </c>
      <c r="G13" s="90">
        <f>56.7+36.7</f>
        <v>93.4</v>
      </c>
      <c r="H13" s="91">
        <f>58.3+38.3</f>
        <v>96.6</v>
      </c>
      <c r="I13" s="57">
        <f>45+53.3</f>
        <v>98.3</v>
      </c>
      <c r="J13" s="92">
        <f>53.3+38.3</f>
        <v>91.6</v>
      </c>
      <c r="K13" s="91">
        <f>55.6+38.1</f>
        <v>93.7</v>
      </c>
      <c r="L13" s="57">
        <f>44.4+50.8</f>
        <v>95.199999999999989</v>
      </c>
      <c r="M13" s="92">
        <f>52.4+39.7</f>
        <v>92.1</v>
      </c>
    </row>
    <row r="14" spans="1:14" ht="27.75" customHeight="1" x14ac:dyDescent="0.25">
      <c r="A14" s="97" t="s">
        <v>35</v>
      </c>
      <c r="B14" s="90">
        <v>80.62</v>
      </c>
      <c r="C14" s="90">
        <v>70.22</v>
      </c>
      <c r="D14" s="92">
        <v>66.290000000000006</v>
      </c>
      <c r="E14" s="90">
        <f>30.7+55.1</f>
        <v>85.8</v>
      </c>
      <c r="F14" s="90">
        <f>13.4+57.5</f>
        <v>70.900000000000006</v>
      </c>
      <c r="G14" s="90">
        <f>29.1+41.4</f>
        <v>70.5</v>
      </c>
      <c r="H14" s="91">
        <f>30.6+56.7</f>
        <v>87.300000000000011</v>
      </c>
      <c r="I14" s="57">
        <f>12.2+62.1</f>
        <v>74.3</v>
      </c>
      <c r="J14" s="93">
        <f>15.2+50.9</f>
        <v>66.099999999999994</v>
      </c>
      <c r="K14" s="91">
        <f>32.7+53.5</f>
        <v>86.2</v>
      </c>
      <c r="L14" s="57">
        <f>18.2+63.3</f>
        <v>81.5</v>
      </c>
      <c r="M14" s="93">
        <f>21.1+44.2</f>
        <v>65.300000000000011</v>
      </c>
    </row>
    <row r="15" spans="1:14" x14ac:dyDescent="0.25">
      <c r="A15" s="97" t="s">
        <v>41</v>
      </c>
      <c r="B15" s="90">
        <v>92.9</v>
      </c>
      <c r="C15" s="90">
        <v>91.26</v>
      </c>
      <c r="D15" s="92">
        <v>92.9</v>
      </c>
      <c r="E15" s="90">
        <f>57.4+39</f>
        <v>96.4</v>
      </c>
      <c r="F15" s="90">
        <f>40.4+54.4</f>
        <v>94.8</v>
      </c>
      <c r="G15" s="90">
        <f>61+34.6</f>
        <v>95.6</v>
      </c>
      <c r="H15" s="91">
        <f>50.3+42.1</f>
        <v>92.4</v>
      </c>
      <c r="I15" s="57">
        <f>44.7+52.2</f>
        <v>96.9</v>
      </c>
      <c r="J15" s="92">
        <f>53.5+42.1</f>
        <v>95.6</v>
      </c>
      <c r="K15" s="91">
        <f>52+45.5</f>
        <v>97.5</v>
      </c>
      <c r="L15" s="57">
        <f>43.1+53.7</f>
        <v>96.800000000000011</v>
      </c>
      <c r="M15" s="92">
        <f>55.3+43.9</f>
        <v>99.199999999999989</v>
      </c>
    </row>
    <row r="16" spans="1:14" x14ac:dyDescent="0.25">
      <c r="A16" s="97" t="s">
        <v>42</v>
      </c>
      <c r="B16" s="90">
        <v>88.73</v>
      </c>
      <c r="C16" s="90">
        <v>94.37</v>
      </c>
      <c r="D16" s="92">
        <v>92.96</v>
      </c>
      <c r="E16" s="90">
        <f>44.1+48.2</f>
        <v>92.300000000000011</v>
      </c>
      <c r="F16" s="90">
        <f>33.8+62.1</f>
        <v>95.9</v>
      </c>
      <c r="G16" s="90">
        <f>55.4+39</f>
        <v>94.4</v>
      </c>
      <c r="H16" s="91">
        <f>36+50</f>
        <v>86</v>
      </c>
      <c r="I16" s="57">
        <f>26.8+64</f>
        <v>90.8</v>
      </c>
      <c r="J16" s="92">
        <f>41.5+51.2</f>
        <v>92.7</v>
      </c>
      <c r="K16" s="91">
        <f>39.9+49</f>
        <v>88.9</v>
      </c>
      <c r="L16" s="57">
        <f>28.8+64.1</f>
        <v>92.899999999999991</v>
      </c>
      <c r="M16" s="92">
        <f>45.8+46.4</f>
        <v>92.199999999999989</v>
      </c>
    </row>
    <row r="17" spans="1:13" x14ac:dyDescent="0.25">
      <c r="A17" s="97" t="s">
        <v>36</v>
      </c>
      <c r="B17" s="90">
        <v>93.57</v>
      </c>
      <c r="C17" s="90">
        <v>92.98</v>
      </c>
      <c r="D17" s="92">
        <v>92.98</v>
      </c>
      <c r="E17" s="90">
        <f>53.1+38.8</f>
        <v>91.9</v>
      </c>
      <c r="F17" s="90">
        <f>45.6+49</f>
        <v>94.6</v>
      </c>
      <c r="G17" s="90">
        <f>58.5+32</f>
        <v>90.5</v>
      </c>
      <c r="H17" s="91">
        <f>53.4+39.9</f>
        <v>93.3</v>
      </c>
      <c r="I17" s="57">
        <f>43.6+50.3</f>
        <v>93.9</v>
      </c>
      <c r="J17" s="93">
        <f>44.8+44.8</f>
        <v>89.6</v>
      </c>
      <c r="K17" s="91">
        <f>40.9+46.4</f>
        <v>87.3</v>
      </c>
      <c r="L17" s="57">
        <f>38.1+52.5</f>
        <v>90.6</v>
      </c>
      <c r="M17" s="93">
        <f>38.1+43.6</f>
        <v>81.7</v>
      </c>
    </row>
    <row r="18" spans="1:13" x14ac:dyDescent="0.25">
      <c r="A18" s="97" t="s">
        <v>37</v>
      </c>
      <c r="B18" s="90">
        <v>87.42</v>
      </c>
      <c r="C18" s="90">
        <v>83.89</v>
      </c>
      <c r="D18" s="177">
        <v>84.55</v>
      </c>
      <c r="E18" s="90">
        <f>38.8+51.7</f>
        <v>90.5</v>
      </c>
      <c r="F18" s="90">
        <f>19.5+68</f>
        <v>87.5</v>
      </c>
      <c r="G18" s="90">
        <f>49.1+42.9</f>
        <v>92</v>
      </c>
      <c r="H18" s="91">
        <f>33.4+57</f>
        <v>90.4</v>
      </c>
      <c r="I18" s="57">
        <f>15.4+67.1</f>
        <v>82.5</v>
      </c>
      <c r="J18" s="92">
        <f>33.9+55.6</f>
        <v>89.5</v>
      </c>
      <c r="K18" s="91">
        <f>34.3+52.7</f>
        <v>87</v>
      </c>
      <c r="L18" s="57">
        <f>17.7+62.8</f>
        <v>80.5</v>
      </c>
      <c r="M18" s="92">
        <f>35.8+54</f>
        <v>89.8</v>
      </c>
    </row>
    <row r="19" spans="1:13" x14ac:dyDescent="0.25">
      <c r="A19" s="98" t="s">
        <v>38</v>
      </c>
      <c r="B19" s="95">
        <v>92.5</v>
      </c>
      <c r="C19" s="95">
        <v>89.9</v>
      </c>
      <c r="D19" s="96">
        <v>87.6</v>
      </c>
      <c r="E19" s="95">
        <f>44.8+46.6</f>
        <v>91.4</v>
      </c>
      <c r="F19" s="95">
        <f>29.4+59.4</f>
        <v>88.8</v>
      </c>
      <c r="G19" s="96">
        <f>46.4+39.5</f>
        <v>85.9</v>
      </c>
      <c r="H19" s="94">
        <f>41.9+49.1</f>
        <v>91</v>
      </c>
      <c r="I19" s="95">
        <f>26.6+61.2</f>
        <v>87.800000000000011</v>
      </c>
      <c r="J19" s="96">
        <f>34.3+50.6</f>
        <v>84.9</v>
      </c>
      <c r="K19" s="94">
        <v>90.4</v>
      </c>
      <c r="L19" s="95">
        <v>88.6</v>
      </c>
      <c r="M19" s="96">
        <v>84.5</v>
      </c>
    </row>
    <row r="20" spans="1:13" x14ac:dyDescent="0.25">
      <c r="A20" s="98" t="s">
        <v>5</v>
      </c>
      <c r="B20" s="169">
        <v>90.800000000000011</v>
      </c>
      <c r="C20" s="169">
        <v>88.6</v>
      </c>
      <c r="D20" s="170">
        <v>85.9</v>
      </c>
      <c r="E20" s="95">
        <f>41+49.1</f>
        <v>90.1</v>
      </c>
      <c r="F20" s="95">
        <f>25.3+62.5</f>
        <v>87.8</v>
      </c>
      <c r="G20" s="96">
        <f>41.5+43.1</f>
        <v>84.6</v>
      </c>
      <c r="H20" s="94">
        <f>38.4+50.5</f>
        <v>88.9</v>
      </c>
      <c r="I20" s="95">
        <f>23.2+63.2</f>
        <v>86.4</v>
      </c>
      <c r="J20" s="96">
        <v>82.7</v>
      </c>
      <c r="K20" s="95">
        <v>88.1</v>
      </c>
      <c r="L20" s="95">
        <v>85.5</v>
      </c>
      <c r="M20" s="96">
        <v>81.400000000000006</v>
      </c>
    </row>
    <row r="21" spans="1:13" x14ac:dyDescent="0.25">
      <c r="A21" s="209" t="s">
        <v>182</v>
      </c>
      <c r="B21" s="209"/>
      <c r="C21" s="209"/>
      <c r="D21" s="209"/>
      <c r="E21" s="209"/>
      <c r="F21" s="209"/>
    </row>
  </sheetData>
  <mergeCells count="6">
    <mergeCell ref="K2:M2"/>
    <mergeCell ref="H2:J2"/>
    <mergeCell ref="E2:G2"/>
    <mergeCell ref="A1:F1"/>
    <mergeCell ref="A21:F21"/>
    <mergeCell ref="B2:D2"/>
  </mergeCells>
  <pageMargins left="0.7" right="0.7" top="0.75" bottom="0.75" header="0.3" footer="0.3"/>
  <pageSetup paperSize="9"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topLeftCell="A76" zoomScaleNormal="100" workbookViewId="0">
      <selection activeCell="H94" sqref="H94"/>
    </sheetView>
  </sheetViews>
  <sheetFormatPr defaultColWidth="9.140625" defaultRowHeight="15" x14ac:dyDescent="0.25"/>
  <cols>
    <col min="1" max="1" width="20" style="36" customWidth="1"/>
    <col min="2" max="2" width="13.42578125" style="36" customWidth="1"/>
    <col min="3" max="16384" width="9.140625" style="36"/>
  </cols>
  <sheetData>
    <row r="1" spans="1:15" ht="30" customHeight="1" x14ac:dyDescent="0.25">
      <c r="A1" s="269" t="s">
        <v>188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</row>
    <row r="3" spans="1:15" ht="82.5" customHeight="1" x14ac:dyDescent="0.25">
      <c r="A3" s="265" t="s">
        <v>48</v>
      </c>
      <c r="B3" s="265" t="s">
        <v>49</v>
      </c>
      <c r="C3" s="263" t="s">
        <v>187</v>
      </c>
      <c r="D3" s="257"/>
      <c r="E3" s="263" t="s">
        <v>15</v>
      </c>
      <c r="F3" s="264"/>
      <c r="G3" s="257" t="s">
        <v>16</v>
      </c>
      <c r="H3" s="257"/>
      <c r="I3" s="263" t="s">
        <v>17</v>
      </c>
      <c r="J3" s="264"/>
      <c r="K3" s="257" t="s">
        <v>197</v>
      </c>
      <c r="L3" s="257"/>
      <c r="M3" s="263" t="s">
        <v>50</v>
      </c>
      <c r="N3" s="264"/>
    </row>
    <row r="4" spans="1:15" x14ac:dyDescent="0.25">
      <c r="A4" s="266"/>
      <c r="B4" s="266"/>
      <c r="C4" s="54" t="s">
        <v>4</v>
      </c>
      <c r="D4" s="55" t="s">
        <v>19</v>
      </c>
      <c r="E4" s="54" t="s">
        <v>4</v>
      </c>
      <c r="F4" s="56" t="s">
        <v>19</v>
      </c>
      <c r="G4" s="55" t="s">
        <v>4</v>
      </c>
      <c r="H4" s="55" t="s">
        <v>19</v>
      </c>
      <c r="I4" s="54" t="s">
        <v>4</v>
      </c>
      <c r="J4" s="56" t="s">
        <v>19</v>
      </c>
      <c r="K4" s="55" t="s">
        <v>4</v>
      </c>
      <c r="L4" s="55" t="s">
        <v>19</v>
      </c>
      <c r="M4" s="54" t="s">
        <v>4</v>
      </c>
      <c r="N4" s="56" t="s">
        <v>19</v>
      </c>
    </row>
    <row r="5" spans="1:15" x14ac:dyDescent="0.25">
      <c r="A5" s="100" t="s">
        <v>51</v>
      </c>
      <c r="B5" s="101" t="s">
        <v>52</v>
      </c>
      <c r="C5" s="102">
        <v>45</v>
      </c>
      <c r="D5" s="124">
        <v>3196</v>
      </c>
      <c r="E5" s="132">
        <v>97.78</v>
      </c>
      <c r="F5" s="135">
        <v>95.9</v>
      </c>
      <c r="G5" s="103">
        <v>93.33</v>
      </c>
      <c r="H5" s="126">
        <v>93.8</v>
      </c>
      <c r="I5" s="132">
        <v>86.67</v>
      </c>
      <c r="J5" s="135">
        <v>90.9</v>
      </c>
      <c r="K5" s="103">
        <v>88.89</v>
      </c>
      <c r="L5" s="126">
        <v>83.5</v>
      </c>
      <c r="M5" s="132">
        <v>77.27</v>
      </c>
      <c r="N5" s="130">
        <v>72</v>
      </c>
    </row>
    <row r="6" spans="1:15" ht="30" x14ac:dyDescent="0.25">
      <c r="A6" s="100" t="s">
        <v>189</v>
      </c>
      <c r="B6" s="101" t="s">
        <v>53</v>
      </c>
      <c r="C6" s="102">
        <v>48</v>
      </c>
      <c r="D6" s="124">
        <v>2788</v>
      </c>
      <c r="E6" s="133">
        <v>97.92</v>
      </c>
      <c r="F6" s="135">
        <v>85.2</v>
      </c>
      <c r="G6" s="123">
        <v>97.92</v>
      </c>
      <c r="H6" s="126">
        <v>93.3</v>
      </c>
      <c r="I6" s="132">
        <v>95.83</v>
      </c>
      <c r="J6" s="135">
        <v>90.5</v>
      </c>
      <c r="K6" s="103">
        <v>93.75</v>
      </c>
      <c r="L6" s="126">
        <v>87.3</v>
      </c>
      <c r="M6" s="132">
        <v>80.849999999999994</v>
      </c>
      <c r="N6" s="130">
        <v>73.3</v>
      </c>
      <c r="O6" s="155"/>
    </row>
    <row r="7" spans="1:15" ht="45" x14ac:dyDescent="0.25">
      <c r="A7" s="100" t="s">
        <v>54</v>
      </c>
      <c r="B7" s="101" t="s">
        <v>55</v>
      </c>
      <c r="C7" s="102">
        <v>3</v>
      </c>
      <c r="D7" s="124">
        <v>2327</v>
      </c>
      <c r="E7" s="132" t="s">
        <v>192</v>
      </c>
      <c r="F7" s="135">
        <v>91.4</v>
      </c>
      <c r="G7" s="132" t="s">
        <v>192</v>
      </c>
      <c r="H7" s="126">
        <v>89.1</v>
      </c>
      <c r="I7" s="132" t="s">
        <v>192</v>
      </c>
      <c r="J7" s="135">
        <v>90.9</v>
      </c>
      <c r="K7" s="132" t="s">
        <v>192</v>
      </c>
      <c r="L7" s="126">
        <v>89.4</v>
      </c>
      <c r="M7" s="201" t="s">
        <v>192</v>
      </c>
      <c r="N7" s="130">
        <v>67.400000000000006</v>
      </c>
      <c r="O7" s="58"/>
    </row>
    <row r="8" spans="1:15" ht="30" x14ac:dyDescent="0.25">
      <c r="A8" s="100" t="s">
        <v>56</v>
      </c>
      <c r="B8" s="101" t="s">
        <v>57</v>
      </c>
      <c r="C8" s="102">
        <v>207</v>
      </c>
      <c r="D8" s="124">
        <v>18860</v>
      </c>
      <c r="E8" s="132">
        <v>91.79</v>
      </c>
      <c r="F8" s="135">
        <v>91.4</v>
      </c>
      <c r="G8" s="103">
        <v>87.44</v>
      </c>
      <c r="H8" s="126">
        <v>92</v>
      </c>
      <c r="I8" s="132">
        <v>82.61</v>
      </c>
      <c r="J8" s="135">
        <v>86.6</v>
      </c>
      <c r="K8" s="103">
        <v>82.13</v>
      </c>
      <c r="L8" s="126">
        <v>90</v>
      </c>
      <c r="M8" s="132">
        <v>80.42</v>
      </c>
      <c r="N8" s="130">
        <v>74.8</v>
      </c>
    </row>
    <row r="9" spans="1:15" ht="30" x14ac:dyDescent="0.25">
      <c r="A9" s="100" t="s">
        <v>170</v>
      </c>
      <c r="B9" s="101" t="s">
        <v>58</v>
      </c>
      <c r="C9" s="102">
        <v>9</v>
      </c>
      <c r="D9" s="124">
        <v>2107</v>
      </c>
      <c r="E9" s="132">
        <v>100</v>
      </c>
      <c r="F9" s="135">
        <v>95.5</v>
      </c>
      <c r="G9" s="103">
        <v>77.78</v>
      </c>
      <c r="H9" s="129">
        <v>91.1</v>
      </c>
      <c r="I9" s="132">
        <v>77.78</v>
      </c>
      <c r="J9" s="130">
        <v>87.6</v>
      </c>
      <c r="K9" s="103">
        <v>88.89</v>
      </c>
      <c r="L9" s="129">
        <v>75.400000000000006</v>
      </c>
      <c r="M9" s="132">
        <v>55.56</v>
      </c>
      <c r="N9" s="130">
        <v>77.599999999999994</v>
      </c>
    </row>
    <row r="10" spans="1:15" ht="60" x14ac:dyDescent="0.25">
      <c r="A10" s="100" t="s">
        <v>59</v>
      </c>
      <c r="B10" s="101" t="s">
        <v>60</v>
      </c>
      <c r="C10" s="102">
        <v>7</v>
      </c>
      <c r="D10" s="124">
        <v>3461</v>
      </c>
      <c r="E10" s="132">
        <v>85.71</v>
      </c>
      <c r="F10" s="135">
        <v>93.9</v>
      </c>
      <c r="G10" s="103">
        <v>85.71</v>
      </c>
      <c r="H10" s="126">
        <v>81.599999999999994</v>
      </c>
      <c r="I10" s="132">
        <v>71.430000000000007</v>
      </c>
      <c r="J10" s="135">
        <v>86.300000000000011</v>
      </c>
      <c r="K10" s="103">
        <v>42.86</v>
      </c>
      <c r="L10" s="126">
        <v>79.8</v>
      </c>
      <c r="M10" s="132">
        <v>100</v>
      </c>
      <c r="N10" s="130">
        <v>65.099999999999994</v>
      </c>
    </row>
    <row r="11" spans="1:15" ht="60" x14ac:dyDescent="0.25">
      <c r="A11" s="100" t="s">
        <v>62</v>
      </c>
      <c r="B11" s="101" t="s">
        <v>55</v>
      </c>
      <c r="C11" s="102">
        <v>11</v>
      </c>
      <c r="D11" s="124">
        <v>2327</v>
      </c>
      <c r="E11" s="132">
        <v>100</v>
      </c>
      <c r="F11" s="135">
        <v>91.4</v>
      </c>
      <c r="G11" s="103">
        <v>90.91</v>
      </c>
      <c r="H11" s="126">
        <v>89.1</v>
      </c>
      <c r="I11" s="132">
        <v>100</v>
      </c>
      <c r="J11" s="135">
        <v>90.9</v>
      </c>
      <c r="K11" s="103">
        <v>90.91</v>
      </c>
      <c r="L11" s="126">
        <v>89.4</v>
      </c>
      <c r="M11" s="132">
        <v>63.64</v>
      </c>
      <c r="N11" s="130">
        <v>67.400000000000006</v>
      </c>
    </row>
    <row r="12" spans="1:15" ht="60" x14ac:dyDescent="0.25">
      <c r="A12" s="100" t="s">
        <v>63</v>
      </c>
      <c r="B12" s="101" t="s">
        <v>64</v>
      </c>
      <c r="C12" s="102">
        <v>97</v>
      </c>
      <c r="D12" s="124">
        <v>10343</v>
      </c>
      <c r="E12" s="132">
        <v>100</v>
      </c>
      <c r="F12" s="135">
        <v>93.2</v>
      </c>
      <c r="G12" s="103">
        <v>92.78</v>
      </c>
      <c r="H12" s="126">
        <v>92.1</v>
      </c>
      <c r="I12" s="132">
        <v>86.6</v>
      </c>
      <c r="J12" s="135">
        <v>89.1</v>
      </c>
      <c r="K12" s="103">
        <v>73.2</v>
      </c>
      <c r="L12" s="126">
        <v>77.099999999999994</v>
      </c>
      <c r="M12" s="132">
        <v>65.63</v>
      </c>
      <c r="N12" s="130">
        <v>71.2</v>
      </c>
    </row>
    <row r="13" spans="1:15" ht="30" x14ac:dyDescent="0.25">
      <c r="A13" s="104" t="s">
        <v>65</v>
      </c>
      <c r="B13" s="105" t="s">
        <v>66</v>
      </c>
      <c r="C13" s="106">
        <v>51</v>
      </c>
      <c r="D13" s="188">
        <v>7382</v>
      </c>
      <c r="E13" s="134">
        <v>98.04</v>
      </c>
      <c r="F13" s="136">
        <v>94.4</v>
      </c>
      <c r="G13" s="107">
        <v>84.31</v>
      </c>
      <c r="H13" s="128">
        <v>91.1</v>
      </c>
      <c r="I13" s="134">
        <v>80.39</v>
      </c>
      <c r="J13" s="136">
        <v>86.399999999999991</v>
      </c>
      <c r="K13" s="107">
        <v>84.31</v>
      </c>
      <c r="L13" s="128">
        <v>79.8</v>
      </c>
      <c r="M13" s="134">
        <v>74</v>
      </c>
      <c r="N13" s="131">
        <v>74.8</v>
      </c>
    </row>
    <row r="14" spans="1:15" ht="75" customHeight="1" x14ac:dyDescent="0.25">
      <c r="A14" s="265" t="s">
        <v>48</v>
      </c>
      <c r="B14" s="265" t="s">
        <v>49</v>
      </c>
      <c r="C14" s="263" t="s">
        <v>187</v>
      </c>
      <c r="D14" s="257"/>
      <c r="E14" s="267" t="s">
        <v>15</v>
      </c>
      <c r="F14" s="268"/>
      <c r="G14" s="257" t="s">
        <v>16</v>
      </c>
      <c r="H14" s="257"/>
      <c r="I14" s="263" t="s">
        <v>17</v>
      </c>
      <c r="J14" s="264"/>
      <c r="K14" s="257" t="s">
        <v>197</v>
      </c>
      <c r="L14" s="257"/>
      <c r="M14" s="263" t="s">
        <v>50</v>
      </c>
      <c r="N14" s="264"/>
    </row>
    <row r="15" spans="1:15" ht="25.5" customHeight="1" x14ac:dyDescent="0.25">
      <c r="A15" s="266"/>
      <c r="B15" s="266"/>
      <c r="C15" s="54" t="s">
        <v>4</v>
      </c>
      <c r="D15" s="55" t="s">
        <v>19</v>
      </c>
      <c r="E15" s="137" t="s">
        <v>4</v>
      </c>
      <c r="F15" s="140" t="s">
        <v>19</v>
      </c>
      <c r="G15" s="55" t="s">
        <v>4</v>
      </c>
      <c r="H15" s="55" t="s">
        <v>19</v>
      </c>
      <c r="I15" s="54" t="s">
        <v>4</v>
      </c>
      <c r="J15" s="56" t="s">
        <v>19</v>
      </c>
      <c r="K15" s="55" t="s">
        <v>4</v>
      </c>
      <c r="L15" s="55" t="s">
        <v>19</v>
      </c>
      <c r="M15" s="54" t="s">
        <v>4</v>
      </c>
      <c r="N15" s="56" t="s">
        <v>19</v>
      </c>
    </row>
    <row r="16" spans="1:15" ht="45" x14ac:dyDescent="0.25">
      <c r="A16" s="100" t="s">
        <v>67</v>
      </c>
      <c r="B16" s="101" t="s">
        <v>66</v>
      </c>
      <c r="C16" s="102">
        <v>20</v>
      </c>
      <c r="D16" s="124">
        <v>7382</v>
      </c>
      <c r="E16" s="132">
        <v>100</v>
      </c>
      <c r="F16" s="135">
        <v>94.4</v>
      </c>
      <c r="G16" s="103">
        <v>95</v>
      </c>
      <c r="H16" s="126">
        <v>91.1</v>
      </c>
      <c r="I16" s="132">
        <v>95</v>
      </c>
      <c r="J16" s="135">
        <v>86.399999999999991</v>
      </c>
      <c r="K16" s="103">
        <v>100</v>
      </c>
      <c r="L16" s="126">
        <v>79.8</v>
      </c>
      <c r="M16" s="132">
        <v>73.680000000000007</v>
      </c>
      <c r="N16" s="130">
        <v>74.8</v>
      </c>
    </row>
    <row r="17" spans="1:15" ht="60" x14ac:dyDescent="0.25">
      <c r="A17" s="100" t="s">
        <v>68</v>
      </c>
      <c r="B17" s="101" t="s">
        <v>69</v>
      </c>
      <c r="C17" s="102">
        <v>123</v>
      </c>
      <c r="D17" s="124">
        <v>8703</v>
      </c>
      <c r="E17" s="132">
        <v>97.56</v>
      </c>
      <c r="F17" s="135">
        <v>96.1</v>
      </c>
      <c r="G17" s="103">
        <v>90.24</v>
      </c>
      <c r="H17" s="126">
        <v>86.800000000000011</v>
      </c>
      <c r="I17" s="132">
        <v>93.5</v>
      </c>
      <c r="J17" s="135">
        <v>89.6</v>
      </c>
      <c r="K17" s="103">
        <v>86.99</v>
      </c>
      <c r="L17" s="126">
        <v>85.300000000000011</v>
      </c>
      <c r="M17" s="132">
        <v>67.5</v>
      </c>
      <c r="N17" s="130">
        <v>60.9</v>
      </c>
    </row>
    <row r="18" spans="1:15" ht="60" x14ac:dyDescent="0.25">
      <c r="A18" s="100" t="s">
        <v>70</v>
      </c>
      <c r="B18" s="101" t="s">
        <v>60</v>
      </c>
      <c r="C18" s="102">
        <v>19</v>
      </c>
      <c r="D18" s="124">
        <v>3461</v>
      </c>
      <c r="E18" s="132">
        <v>100</v>
      </c>
      <c r="F18" s="135">
        <v>93.9</v>
      </c>
      <c r="G18" s="103">
        <v>63.16</v>
      </c>
      <c r="H18" s="126">
        <v>81.599999999999994</v>
      </c>
      <c r="I18" s="132">
        <v>78.95</v>
      </c>
      <c r="J18" s="135">
        <v>86.300000000000011</v>
      </c>
      <c r="K18" s="103">
        <v>68.42</v>
      </c>
      <c r="L18" s="126">
        <v>79.8</v>
      </c>
      <c r="M18" s="132">
        <v>42.11</v>
      </c>
      <c r="N18" s="130">
        <v>65.099999999999994</v>
      </c>
      <c r="O18" s="58"/>
    </row>
    <row r="19" spans="1:15" x14ac:dyDescent="0.25">
      <c r="A19" s="100" t="s">
        <v>71</v>
      </c>
      <c r="B19" s="101" t="s">
        <v>72</v>
      </c>
      <c r="C19" s="102">
        <v>12</v>
      </c>
      <c r="D19" s="124">
        <v>1511</v>
      </c>
      <c r="E19" s="132">
        <v>100</v>
      </c>
      <c r="F19" s="135">
        <v>96.6</v>
      </c>
      <c r="G19" s="103">
        <v>91.67</v>
      </c>
      <c r="H19" s="126">
        <v>93.800000000000011</v>
      </c>
      <c r="I19" s="132">
        <v>100</v>
      </c>
      <c r="J19" s="135">
        <v>89.4</v>
      </c>
      <c r="K19" s="103">
        <v>100</v>
      </c>
      <c r="L19" s="126">
        <v>79.5</v>
      </c>
      <c r="M19" s="132">
        <v>58.33</v>
      </c>
      <c r="N19" s="130">
        <v>80.099999999999994</v>
      </c>
    </row>
    <row r="20" spans="1:15" ht="120" x14ac:dyDescent="0.25">
      <c r="A20" s="100" t="s">
        <v>73</v>
      </c>
      <c r="B20" s="101" t="s">
        <v>60</v>
      </c>
      <c r="C20" s="108">
        <v>6</v>
      </c>
      <c r="D20" s="124">
        <v>3461</v>
      </c>
      <c r="E20" s="132">
        <v>100</v>
      </c>
      <c r="F20" s="135">
        <v>93.9</v>
      </c>
      <c r="G20" s="154">
        <v>100</v>
      </c>
      <c r="H20" s="126">
        <v>81.599999999999994</v>
      </c>
      <c r="I20" s="156">
        <v>100</v>
      </c>
      <c r="J20" s="135">
        <v>86.300000000000011</v>
      </c>
      <c r="K20" s="103">
        <v>66.67</v>
      </c>
      <c r="L20" s="135">
        <v>79.8</v>
      </c>
      <c r="M20" s="132">
        <v>83.33</v>
      </c>
      <c r="N20" s="130">
        <v>65.099999999999994</v>
      </c>
    </row>
    <row r="21" spans="1:15" ht="60" x14ac:dyDescent="0.25">
      <c r="A21" s="100" t="s">
        <v>74</v>
      </c>
      <c r="B21" s="101" t="s">
        <v>64</v>
      </c>
      <c r="C21" s="102">
        <v>11</v>
      </c>
      <c r="D21" s="124">
        <v>10343</v>
      </c>
      <c r="E21" s="132">
        <v>100</v>
      </c>
      <c r="F21" s="135">
        <v>93.2</v>
      </c>
      <c r="G21" s="103">
        <v>90.91</v>
      </c>
      <c r="H21" s="126">
        <v>92.1</v>
      </c>
      <c r="I21" s="132">
        <v>100</v>
      </c>
      <c r="J21" s="135">
        <v>89.1</v>
      </c>
      <c r="K21" s="103">
        <v>100</v>
      </c>
      <c r="L21" s="126">
        <v>77.099999999999994</v>
      </c>
      <c r="M21" s="132">
        <v>63.64</v>
      </c>
      <c r="N21" s="130">
        <v>71.2</v>
      </c>
    </row>
    <row r="22" spans="1:15" ht="30" x14ac:dyDescent="0.25">
      <c r="A22" s="100" t="s">
        <v>75</v>
      </c>
      <c r="B22" s="101" t="s">
        <v>76</v>
      </c>
      <c r="C22" s="102">
        <v>20</v>
      </c>
      <c r="D22" s="124">
        <v>1324</v>
      </c>
      <c r="E22" s="132">
        <v>95</v>
      </c>
      <c r="F22" s="135">
        <v>95.5</v>
      </c>
      <c r="G22" s="103">
        <v>70</v>
      </c>
      <c r="H22" s="126">
        <v>92.8</v>
      </c>
      <c r="I22" s="132">
        <v>85</v>
      </c>
      <c r="J22" s="135">
        <v>93.2</v>
      </c>
      <c r="K22" s="103">
        <v>65</v>
      </c>
      <c r="L22" s="126">
        <v>84.6</v>
      </c>
      <c r="M22" s="132">
        <v>63.16</v>
      </c>
      <c r="N22" s="130">
        <v>72.5</v>
      </c>
    </row>
    <row r="23" spans="1:15" x14ac:dyDescent="0.25">
      <c r="A23" s="104" t="s">
        <v>77</v>
      </c>
      <c r="B23" s="105" t="s">
        <v>78</v>
      </c>
      <c r="C23" s="106">
        <v>60</v>
      </c>
      <c r="D23" s="125">
        <v>4390</v>
      </c>
      <c r="E23" s="134">
        <v>98.33</v>
      </c>
      <c r="F23" s="136">
        <v>94.2</v>
      </c>
      <c r="G23" s="107">
        <v>91.67</v>
      </c>
      <c r="H23" s="128">
        <v>92.1</v>
      </c>
      <c r="I23" s="134">
        <v>83.33</v>
      </c>
      <c r="J23" s="136">
        <v>88.699999999999989</v>
      </c>
      <c r="K23" s="107">
        <v>85</v>
      </c>
      <c r="L23" s="128">
        <v>81.7</v>
      </c>
      <c r="M23" s="134">
        <v>74.8</v>
      </c>
      <c r="N23" s="131">
        <v>71.8</v>
      </c>
    </row>
    <row r="24" spans="1:15" ht="75" customHeight="1" x14ac:dyDescent="0.25">
      <c r="A24" s="265" t="s">
        <v>48</v>
      </c>
      <c r="B24" s="265" t="s">
        <v>49</v>
      </c>
      <c r="C24" s="263" t="s">
        <v>187</v>
      </c>
      <c r="D24" s="257"/>
      <c r="E24" s="267" t="s">
        <v>15</v>
      </c>
      <c r="F24" s="268"/>
      <c r="G24" s="257" t="s">
        <v>16</v>
      </c>
      <c r="H24" s="257"/>
      <c r="I24" s="263" t="s">
        <v>17</v>
      </c>
      <c r="J24" s="264"/>
      <c r="K24" s="257" t="s">
        <v>197</v>
      </c>
      <c r="L24" s="257"/>
      <c r="M24" s="263" t="s">
        <v>50</v>
      </c>
      <c r="N24" s="264"/>
    </row>
    <row r="25" spans="1:15" x14ac:dyDescent="0.25">
      <c r="A25" s="266"/>
      <c r="B25" s="266"/>
      <c r="C25" s="54" t="s">
        <v>4</v>
      </c>
      <c r="D25" s="55" t="s">
        <v>19</v>
      </c>
      <c r="E25" s="137" t="s">
        <v>4</v>
      </c>
      <c r="F25" s="140" t="s">
        <v>19</v>
      </c>
      <c r="G25" s="55" t="s">
        <v>4</v>
      </c>
      <c r="H25" s="55" t="s">
        <v>19</v>
      </c>
      <c r="I25" s="54" t="s">
        <v>4</v>
      </c>
      <c r="J25" s="56" t="s">
        <v>19</v>
      </c>
      <c r="K25" s="55" t="s">
        <v>4</v>
      </c>
      <c r="L25" s="55" t="s">
        <v>19</v>
      </c>
      <c r="M25" s="54" t="s">
        <v>4</v>
      </c>
      <c r="N25" s="56" t="s">
        <v>19</v>
      </c>
    </row>
    <row r="26" spans="1:15" x14ac:dyDescent="0.25">
      <c r="A26" s="100" t="s">
        <v>79</v>
      </c>
      <c r="B26" s="101" t="s">
        <v>80</v>
      </c>
      <c r="C26" s="102">
        <v>27</v>
      </c>
      <c r="D26" s="124">
        <v>2119</v>
      </c>
      <c r="E26" s="132">
        <v>100</v>
      </c>
      <c r="F26" s="135">
        <v>96.7</v>
      </c>
      <c r="G26" s="103">
        <v>100</v>
      </c>
      <c r="H26" s="126">
        <v>94.199999999999989</v>
      </c>
      <c r="I26" s="132">
        <v>100</v>
      </c>
      <c r="J26" s="135">
        <v>90</v>
      </c>
      <c r="K26" s="103">
        <v>92.59</v>
      </c>
      <c r="L26" s="126">
        <v>81.199999999999989</v>
      </c>
      <c r="M26" s="132">
        <v>92.59</v>
      </c>
      <c r="N26" s="130">
        <v>79.599999999999994</v>
      </c>
    </row>
    <row r="27" spans="1:15" x14ac:dyDescent="0.25">
      <c r="A27" s="100" t="s">
        <v>150</v>
      </c>
      <c r="B27" s="101" t="s">
        <v>61</v>
      </c>
      <c r="C27" s="102">
        <v>10</v>
      </c>
      <c r="D27" s="124">
        <v>674</v>
      </c>
      <c r="E27" s="132">
        <v>90</v>
      </c>
      <c r="F27" s="135">
        <v>95</v>
      </c>
      <c r="G27" s="103">
        <v>90</v>
      </c>
      <c r="H27" s="126">
        <v>92.800000000000011</v>
      </c>
      <c r="I27" s="132">
        <v>90</v>
      </c>
      <c r="J27" s="135">
        <v>92.8</v>
      </c>
      <c r="K27" s="103">
        <v>90</v>
      </c>
      <c r="L27" s="126">
        <v>88.6</v>
      </c>
      <c r="M27" s="132">
        <v>88.89</v>
      </c>
      <c r="N27" s="130">
        <v>77.8</v>
      </c>
    </row>
    <row r="28" spans="1:15" ht="30" x14ac:dyDescent="0.25">
      <c r="A28" s="100" t="s">
        <v>81</v>
      </c>
      <c r="B28" s="101" t="s">
        <v>82</v>
      </c>
      <c r="C28" s="108">
        <v>53</v>
      </c>
      <c r="D28" s="124">
        <v>2165</v>
      </c>
      <c r="E28" s="132">
        <v>100</v>
      </c>
      <c r="F28" s="135">
        <v>96.6</v>
      </c>
      <c r="G28" s="132">
        <v>92.45</v>
      </c>
      <c r="H28" s="135">
        <v>94.5</v>
      </c>
      <c r="I28" s="132">
        <v>94.34</v>
      </c>
      <c r="J28" s="135">
        <v>94</v>
      </c>
      <c r="K28" s="103">
        <v>98.11</v>
      </c>
      <c r="L28" s="135">
        <v>91.1</v>
      </c>
      <c r="M28" s="132">
        <v>81.13</v>
      </c>
      <c r="N28" s="135">
        <v>75.8</v>
      </c>
      <c r="O28" s="193"/>
    </row>
    <row r="29" spans="1:15" ht="30" x14ac:dyDescent="0.25">
      <c r="A29" s="100" t="s">
        <v>83</v>
      </c>
      <c r="B29" s="101" t="s">
        <v>84</v>
      </c>
      <c r="C29" s="102">
        <v>62</v>
      </c>
      <c r="D29" s="187">
        <v>7102</v>
      </c>
      <c r="E29" s="132">
        <v>96.77</v>
      </c>
      <c r="F29" s="135">
        <v>92.5</v>
      </c>
      <c r="G29" s="103">
        <v>90.32</v>
      </c>
      <c r="H29" s="126">
        <v>88.699999999999989</v>
      </c>
      <c r="I29" s="132">
        <v>93.55</v>
      </c>
      <c r="J29" s="135">
        <v>90.4</v>
      </c>
      <c r="K29" s="132">
        <v>90.32</v>
      </c>
      <c r="L29" s="126">
        <v>92.1</v>
      </c>
      <c r="M29" s="132">
        <v>63.33</v>
      </c>
      <c r="N29" s="130">
        <v>64.599999999999994</v>
      </c>
    </row>
    <row r="30" spans="1:15" ht="45" x14ac:dyDescent="0.25">
      <c r="A30" s="100" t="s">
        <v>85</v>
      </c>
      <c r="B30" s="101" t="s">
        <v>86</v>
      </c>
      <c r="C30" s="102">
        <v>105</v>
      </c>
      <c r="D30" s="124">
        <v>7927</v>
      </c>
      <c r="E30" s="132">
        <v>99.05</v>
      </c>
      <c r="F30" s="135">
        <v>94.6</v>
      </c>
      <c r="G30" s="103">
        <v>97.14</v>
      </c>
      <c r="H30" s="126">
        <v>94.9</v>
      </c>
      <c r="I30" s="132">
        <v>95.24</v>
      </c>
      <c r="J30" s="135">
        <v>93.3</v>
      </c>
      <c r="K30" s="103">
        <v>90.48</v>
      </c>
      <c r="L30" s="126">
        <v>92.9</v>
      </c>
      <c r="M30" s="132">
        <v>81.37</v>
      </c>
      <c r="N30" s="130">
        <v>76.099999999999994</v>
      </c>
    </row>
    <row r="31" spans="1:15" ht="30" x14ac:dyDescent="0.25">
      <c r="A31" s="100" t="s">
        <v>87</v>
      </c>
      <c r="B31" s="101" t="s">
        <v>88</v>
      </c>
      <c r="C31" s="102">
        <v>140</v>
      </c>
      <c r="D31" s="124">
        <v>6276</v>
      </c>
      <c r="E31" s="132">
        <v>92.86</v>
      </c>
      <c r="F31" s="135">
        <v>88.4</v>
      </c>
      <c r="G31" s="103">
        <v>87.14</v>
      </c>
      <c r="H31" s="126">
        <v>90.7</v>
      </c>
      <c r="I31" s="132">
        <v>86.43</v>
      </c>
      <c r="J31" s="135">
        <v>85.199999999999989</v>
      </c>
      <c r="K31" s="103">
        <v>88.57</v>
      </c>
      <c r="L31" s="126">
        <v>88</v>
      </c>
      <c r="M31" s="132">
        <v>78.13</v>
      </c>
      <c r="N31" s="130">
        <v>70.099999999999994</v>
      </c>
    </row>
    <row r="32" spans="1:15" x14ac:dyDescent="0.25">
      <c r="A32" s="100" t="s">
        <v>89</v>
      </c>
      <c r="B32" s="101" t="s">
        <v>90</v>
      </c>
      <c r="C32" s="102">
        <v>55</v>
      </c>
      <c r="D32" s="124">
        <v>5448</v>
      </c>
      <c r="E32" s="132">
        <v>98.18</v>
      </c>
      <c r="F32" s="135">
        <v>93.6</v>
      </c>
      <c r="G32" s="103">
        <v>96.36</v>
      </c>
      <c r="H32" s="126">
        <v>91.9</v>
      </c>
      <c r="I32" s="132">
        <v>90.91</v>
      </c>
      <c r="J32" s="135">
        <v>89.1</v>
      </c>
      <c r="K32" s="103">
        <v>96.36</v>
      </c>
      <c r="L32" s="126">
        <v>90.4</v>
      </c>
      <c r="M32" s="132">
        <v>83.33</v>
      </c>
      <c r="N32" s="130">
        <v>67.5</v>
      </c>
    </row>
    <row r="33" spans="1:14" ht="38.25" customHeight="1" x14ac:dyDescent="0.25">
      <c r="A33" s="109" t="s">
        <v>91</v>
      </c>
      <c r="B33" s="109" t="s">
        <v>92</v>
      </c>
      <c r="C33" s="102">
        <v>79</v>
      </c>
      <c r="D33" s="124">
        <v>3101</v>
      </c>
      <c r="E33" s="132">
        <v>100</v>
      </c>
      <c r="F33" s="135">
        <v>96.1</v>
      </c>
      <c r="G33" s="103">
        <v>98.73</v>
      </c>
      <c r="H33" s="126">
        <v>91.199999999999989</v>
      </c>
      <c r="I33" s="132">
        <v>94.94</v>
      </c>
      <c r="J33" s="135">
        <v>91.1</v>
      </c>
      <c r="K33" s="103">
        <v>94.94</v>
      </c>
      <c r="L33" s="126">
        <v>88.9</v>
      </c>
      <c r="M33" s="132">
        <v>81.010000000000005</v>
      </c>
      <c r="N33" s="130">
        <v>69.599999999999994</v>
      </c>
    </row>
    <row r="34" spans="1:14" ht="30" x14ac:dyDescent="0.25">
      <c r="A34" s="100" t="s">
        <v>93</v>
      </c>
      <c r="B34" s="101" t="s">
        <v>94</v>
      </c>
      <c r="C34" s="102">
        <v>127</v>
      </c>
      <c r="D34" s="124">
        <v>5004</v>
      </c>
      <c r="E34" s="132">
        <v>92.91</v>
      </c>
      <c r="F34" s="135">
        <v>93.9</v>
      </c>
      <c r="G34" s="103">
        <v>84.25</v>
      </c>
      <c r="H34" s="126">
        <v>92</v>
      </c>
      <c r="I34" s="132">
        <v>84.25</v>
      </c>
      <c r="J34" s="135">
        <v>90.3</v>
      </c>
      <c r="K34" s="103">
        <v>87.4</v>
      </c>
      <c r="L34" s="126">
        <v>84.7</v>
      </c>
      <c r="M34" s="132">
        <v>77.97</v>
      </c>
      <c r="N34" s="130">
        <v>75.599999999999994</v>
      </c>
    </row>
    <row r="35" spans="1:14" ht="150" x14ac:dyDescent="0.25">
      <c r="A35" s="104" t="s">
        <v>95</v>
      </c>
      <c r="B35" s="105" t="s">
        <v>96</v>
      </c>
      <c r="C35" s="110">
        <v>12</v>
      </c>
      <c r="D35" s="125">
        <v>584</v>
      </c>
      <c r="E35" s="138">
        <v>100</v>
      </c>
      <c r="F35" s="136">
        <v>95.9</v>
      </c>
      <c r="G35" s="107">
        <v>83.33</v>
      </c>
      <c r="H35" s="128">
        <v>91.4</v>
      </c>
      <c r="I35" s="134">
        <v>66.67</v>
      </c>
      <c r="J35" s="136">
        <v>89.4</v>
      </c>
      <c r="K35" s="107">
        <v>66.67</v>
      </c>
      <c r="L35" s="128">
        <v>87.5</v>
      </c>
      <c r="M35" s="134">
        <v>75</v>
      </c>
      <c r="N35" s="131">
        <v>66.599999999999994</v>
      </c>
    </row>
    <row r="36" spans="1:14" ht="105.75" customHeight="1" x14ac:dyDescent="0.25">
      <c r="A36" s="265" t="s">
        <v>48</v>
      </c>
      <c r="B36" s="265" t="s">
        <v>49</v>
      </c>
      <c r="C36" s="263" t="s">
        <v>187</v>
      </c>
      <c r="D36" s="257"/>
      <c r="E36" s="267" t="s">
        <v>15</v>
      </c>
      <c r="F36" s="268"/>
      <c r="G36" s="257" t="s">
        <v>16</v>
      </c>
      <c r="H36" s="257"/>
      <c r="I36" s="263" t="s">
        <v>17</v>
      </c>
      <c r="J36" s="264"/>
      <c r="K36" s="257" t="s">
        <v>197</v>
      </c>
      <c r="L36" s="257"/>
      <c r="M36" s="263" t="s">
        <v>50</v>
      </c>
      <c r="N36" s="264"/>
    </row>
    <row r="37" spans="1:14" x14ac:dyDescent="0.25">
      <c r="A37" s="266"/>
      <c r="B37" s="266"/>
      <c r="C37" s="54" t="s">
        <v>4</v>
      </c>
      <c r="D37" s="55" t="s">
        <v>19</v>
      </c>
      <c r="E37" s="137" t="s">
        <v>4</v>
      </c>
      <c r="F37" s="140" t="s">
        <v>19</v>
      </c>
      <c r="G37" s="55" t="s">
        <v>4</v>
      </c>
      <c r="H37" s="55" t="s">
        <v>19</v>
      </c>
      <c r="I37" s="54" t="s">
        <v>4</v>
      </c>
      <c r="J37" s="56" t="s">
        <v>19</v>
      </c>
      <c r="K37" s="55" t="s">
        <v>4</v>
      </c>
      <c r="L37" s="55" t="s">
        <v>19</v>
      </c>
      <c r="M37" s="54" t="s">
        <v>4</v>
      </c>
      <c r="N37" s="56" t="s">
        <v>19</v>
      </c>
    </row>
    <row r="38" spans="1:14" ht="180" x14ac:dyDescent="0.25">
      <c r="A38" s="100" t="s">
        <v>181</v>
      </c>
      <c r="B38" s="101" t="s">
        <v>55</v>
      </c>
      <c r="C38" s="102">
        <v>6</v>
      </c>
      <c r="D38" s="124">
        <v>2327</v>
      </c>
      <c r="E38" s="132">
        <v>100</v>
      </c>
      <c r="F38" s="135">
        <v>91.4</v>
      </c>
      <c r="G38" s="103">
        <v>66.67</v>
      </c>
      <c r="H38" s="126">
        <v>89.1</v>
      </c>
      <c r="I38" s="132">
        <v>83.33</v>
      </c>
      <c r="J38" s="135">
        <v>90.9</v>
      </c>
      <c r="K38" s="103">
        <v>83.33</v>
      </c>
      <c r="L38" s="126">
        <v>89.4</v>
      </c>
      <c r="M38" s="132">
        <v>33.33</v>
      </c>
      <c r="N38" s="130">
        <v>67.400000000000006</v>
      </c>
    </row>
    <row r="39" spans="1:14" ht="120" x14ac:dyDescent="0.25">
      <c r="A39" s="104" t="s">
        <v>97</v>
      </c>
      <c r="B39" s="105" t="s">
        <v>55</v>
      </c>
      <c r="C39" s="106">
        <v>9</v>
      </c>
      <c r="D39" s="125">
        <v>2327</v>
      </c>
      <c r="E39" s="134">
        <v>100</v>
      </c>
      <c r="F39" s="136">
        <v>91.4</v>
      </c>
      <c r="G39" s="107">
        <v>100</v>
      </c>
      <c r="H39" s="128">
        <v>89.1</v>
      </c>
      <c r="I39" s="134">
        <v>100</v>
      </c>
      <c r="J39" s="136">
        <v>90.9</v>
      </c>
      <c r="K39" s="107">
        <v>100</v>
      </c>
      <c r="L39" s="128">
        <v>89.4</v>
      </c>
      <c r="M39" s="134">
        <v>66.67</v>
      </c>
      <c r="N39" s="131">
        <v>67.400000000000006</v>
      </c>
    </row>
    <row r="40" spans="1:14" ht="76.5" customHeight="1" x14ac:dyDescent="0.25">
      <c r="A40" s="265" t="s">
        <v>48</v>
      </c>
      <c r="B40" s="265" t="s">
        <v>49</v>
      </c>
      <c r="C40" s="263" t="s">
        <v>187</v>
      </c>
      <c r="D40" s="257"/>
      <c r="E40" s="267" t="s">
        <v>15</v>
      </c>
      <c r="F40" s="268"/>
      <c r="G40" s="257" t="s">
        <v>16</v>
      </c>
      <c r="H40" s="257"/>
      <c r="I40" s="263" t="s">
        <v>17</v>
      </c>
      <c r="J40" s="264"/>
      <c r="K40" s="257" t="s">
        <v>18</v>
      </c>
      <c r="L40" s="257"/>
      <c r="M40" s="263" t="s">
        <v>50</v>
      </c>
      <c r="N40" s="264"/>
    </row>
    <row r="41" spans="1:14" x14ac:dyDescent="0.25">
      <c r="A41" s="266"/>
      <c r="B41" s="266"/>
      <c r="C41" s="54" t="s">
        <v>4</v>
      </c>
      <c r="D41" s="55" t="s">
        <v>19</v>
      </c>
      <c r="E41" s="137" t="s">
        <v>4</v>
      </c>
      <c r="F41" s="140" t="s">
        <v>19</v>
      </c>
      <c r="G41" s="55" t="s">
        <v>4</v>
      </c>
      <c r="H41" s="55" t="s">
        <v>19</v>
      </c>
      <c r="I41" s="54" t="s">
        <v>4</v>
      </c>
      <c r="J41" s="56" t="s">
        <v>19</v>
      </c>
      <c r="K41" s="55" t="s">
        <v>4</v>
      </c>
      <c r="L41" s="55" t="s">
        <v>19</v>
      </c>
      <c r="M41" s="54" t="s">
        <v>4</v>
      </c>
      <c r="N41" s="56" t="s">
        <v>19</v>
      </c>
    </row>
    <row r="42" spans="1:14" ht="45" x14ac:dyDescent="0.25">
      <c r="A42" s="111" t="s">
        <v>98</v>
      </c>
      <c r="B42" s="112" t="s">
        <v>99</v>
      </c>
      <c r="C42" s="113">
        <v>14</v>
      </c>
      <c r="D42" s="124">
        <v>321</v>
      </c>
      <c r="E42" s="139">
        <v>100</v>
      </c>
      <c r="F42" s="135">
        <v>90</v>
      </c>
      <c r="G42" s="114">
        <v>92.86</v>
      </c>
      <c r="H42" s="126">
        <v>92.4</v>
      </c>
      <c r="I42" s="139">
        <v>100</v>
      </c>
      <c r="J42" s="135">
        <v>93.1</v>
      </c>
      <c r="K42" s="114">
        <v>100</v>
      </c>
      <c r="L42" s="126">
        <v>94.1</v>
      </c>
      <c r="M42" s="139">
        <v>78.569999999999993</v>
      </c>
      <c r="N42" s="144">
        <v>74.400000000000006</v>
      </c>
    </row>
    <row r="43" spans="1:14" ht="30.75" customHeight="1" x14ac:dyDescent="0.25">
      <c r="A43" s="100" t="s">
        <v>152</v>
      </c>
      <c r="B43" s="101" t="s">
        <v>127</v>
      </c>
      <c r="C43" s="108">
        <v>8</v>
      </c>
      <c r="D43" s="124">
        <v>1038</v>
      </c>
      <c r="E43" s="132">
        <v>87.5</v>
      </c>
      <c r="F43" s="135">
        <v>94.9</v>
      </c>
      <c r="G43" s="103">
        <v>87.5</v>
      </c>
      <c r="H43" s="126">
        <v>94.2</v>
      </c>
      <c r="I43" s="132">
        <v>87.5</v>
      </c>
      <c r="J43" s="135">
        <v>94.9</v>
      </c>
      <c r="K43" s="103">
        <v>87.5</v>
      </c>
      <c r="L43" s="126">
        <v>89.7</v>
      </c>
      <c r="M43" s="132">
        <v>85.71</v>
      </c>
      <c r="N43" s="130">
        <v>83.7</v>
      </c>
    </row>
    <row r="44" spans="1:14" x14ac:dyDescent="0.25">
      <c r="A44" s="100" t="s">
        <v>100</v>
      </c>
      <c r="B44" s="101" t="s">
        <v>101</v>
      </c>
      <c r="C44" s="102">
        <v>18</v>
      </c>
      <c r="D44" s="124">
        <v>708</v>
      </c>
      <c r="E44" s="132">
        <v>94.44</v>
      </c>
      <c r="F44" s="135">
        <v>91</v>
      </c>
      <c r="G44" s="103">
        <v>88.89</v>
      </c>
      <c r="H44" s="126">
        <v>90.1</v>
      </c>
      <c r="I44" s="132">
        <v>94.44</v>
      </c>
      <c r="J44" s="135">
        <v>91.9</v>
      </c>
      <c r="K44" s="103">
        <v>94.44</v>
      </c>
      <c r="L44" s="126">
        <v>91</v>
      </c>
      <c r="M44" s="132">
        <v>88.24</v>
      </c>
      <c r="N44" s="130">
        <v>75</v>
      </c>
    </row>
    <row r="45" spans="1:14" x14ac:dyDescent="0.25">
      <c r="A45" s="100" t="s">
        <v>151</v>
      </c>
      <c r="B45" s="101" t="s">
        <v>102</v>
      </c>
      <c r="C45" s="102">
        <v>22</v>
      </c>
      <c r="D45" s="124">
        <v>3056</v>
      </c>
      <c r="E45" s="132">
        <v>100</v>
      </c>
      <c r="F45" s="135">
        <v>94.8</v>
      </c>
      <c r="G45" s="103">
        <v>100</v>
      </c>
      <c r="H45" s="126">
        <v>92.4</v>
      </c>
      <c r="I45" s="132">
        <v>100</v>
      </c>
      <c r="J45" s="135">
        <v>93.300000000000011</v>
      </c>
      <c r="K45" s="103">
        <v>100</v>
      </c>
      <c r="L45" s="126">
        <v>87.2</v>
      </c>
      <c r="M45" s="132">
        <v>68.180000000000007</v>
      </c>
      <c r="N45" s="130">
        <v>77.2</v>
      </c>
    </row>
    <row r="46" spans="1:14" x14ac:dyDescent="0.25">
      <c r="A46" s="100" t="s">
        <v>103</v>
      </c>
      <c r="B46" s="101" t="s">
        <v>102</v>
      </c>
      <c r="C46" s="102">
        <v>43</v>
      </c>
      <c r="D46" s="124">
        <v>3056</v>
      </c>
      <c r="E46" s="132">
        <v>100</v>
      </c>
      <c r="F46" s="135">
        <v>94.8</v>
      </c>
      <c r="G46" s="103">
        <v>95.35</v>
      </c>
      <c r="H46" s="126">
        <v>92.4</v>
      </c>
      <c r="I46" s="132">
        <v>97.67</v>
      </c>
      <c r="J46" s="135">
        <v>93.300000000000011</v>
      </c>
      <c r="K46" s="103">
        <v>97.67</v>
      </c>
      <c r="L46" s="126">
        <v>87.2</v>
      </c>
      <c r="M46" s="132">
        <v>83.72</v>
      </c>
      <c r="N46" s="130">
        <v>77.2</v>
      </c>
    </row>
    <row r="47" spans="1:14" ht="30" x14ac:dyDescent="0.25">
      <c r="A47" s="100" t="s">
        <v>195</v>
      </c>
      <c r="B47" s="101" t="s">
        <v>129</v>
      </c>
      <c r="C47" s="102">
        <v>7</v>
      </c>
      <c r="D47" s="124">
        <v>1442</v>
      </c>
      <c r="E47" s="132">
        <v>100</v>
      </c>
      <c r="F47" s="135">
        <v>96</v>
      </c>
      <c r="G47" s="103">
        <v>100</v>
      </c>
      <c r="H47" s="126">
        <v>89.800000000000011</v>
      </c>
      <c r="I47" s="132">
        <v>100</v>
      </c>
      <c r="J47" s="135">
        <v>91.1</v>
      </c>
      <c r="K47" s="103">
        <v>100</v>
      </c>
      <c r="L47" s="126">
        <v>84.7</v>
      </c>
      <c r="M47" s="132">
        <v>85.71</v>
      </c>
      <c r="N47" s="130">
        <v>73</v>
      </c>
    </row>
    <row r="48" spans="1:14" x14ac:dyDescent="0.25">
      <c r="A48" s="100" t="s">
        <v>104</v>
      </c>
      <c r="B48" s="101" t="s">
        <v>105</v>
      </c>
      <c r="C48" s="102">
        <v>22</v>
      </c>
      <c r="D48" s="143">
        <v>1042</v>
      </c>
      <c r="E48" s="91">
        <v>100</v>
      </c>
      <c r="F48" s="135">
        <v>95.6</v>
      </c>
      <c r="G48" s="57">
        <v>95.45</v>
      </c>
      <c r="H48" s="126">
        <v>94.199999999999989</v>
      </c>
      <c r="I48" s="91">
        <v>100</v>
      </c>
      <c r="J48" s="135">
        <v>94.4</v>
      </c>
      <c r="K48" s="103">
        <v>100</v>
      </c>
      <c r="L48" s="126">
        <v>89.8</v>
      </c>
      <c r="M48" s="91">
        <v>77.27</v>
      </c>
      <c r="N48" s="130">
        <v>82.2</v>
      </c>
    </row>
    <row r="49" spans="1:14" ht="90" x14ac:dyDescent="0.25">
      <c r="A49" s="100" t="s">
        <v>106</v>
      </c>
      <c r="B49" s="101" t="s">
        <v>107</v>
      </c>
      <c r="C49" s="102">
        <v>27</v>
      </c>
      <c r="D49" s="124">
        <v>1669</v>
      </c>
      <c r="E49" s="132">
        <v>100</v>
      </c>
      <c r="F49" s="135">
        <v>91.4</v>
      </c>
      <c r="G49" s="103">
        <v>96.3</v>
      </c>
      <c r="H49" s="126">
        <v>93.4</v>
      </c>
      <c r="I49" s="132">
        <v>92.59</v>
      </c>
      <c r="J49" s="135">
        <v>92.4</v>
      </c>
      <c r="K49" s="103">
        <v>92.59</v>
      </c>
      <c r="L49" s="126">
        <v>86.8</v>
      </c>
      <c r="M49" s="132">
        <v>74.069999999999993</v>
      </c>
      <c r="N49" s="130">
        <v>80.2</v>
      </c>
    </row>
    <row r="50" spans="1:14" ht="45" x14ac:dyDescent="0.25">
      <c r="A50" s="100" t="s">
        <v>108</v>
      </c>
      <c r="B50" s="101" t="s">
        <v>109</v>
      </c>
      <c r="C50" s="102">
        <v>77</v>
      </c>
      <c r="D50" s="124">
        <v>11671</v>
      </c>
      <c r="E50" s="132">
        <v>93.51</v>
      </c>
      <c r="F50" s="135">
        <v>89.4</v>
      </c>
      <c r="G50" s="103">
        <v>81.819999999999993</v>
      </c>
      <c r="H50" s="126">
        <v>92.9</v>
      </c>
      <c r="I50" s="132">
        <v>77.92</v>
      </c>
      <c r="J50" s="135">
        <v>90.9</v>
      </c>
      <c r="K50" s="103">
        <v>79.22</v>
      </c>
      <c r="L50" s="126">
        <v>92.6</v>
      </c>
      <c r="M50" s="132">
        <v>75</v>
      </c>
      <c r="N50" s="130">
        <v>77.5</v>
      </c>
    </row>
    <row r="51" spans="1:14" x14ac:dyDescent="0.25">
      <c r="A51" s="100" t="s">
        <v>110</v>
      </c>
      <c r="B51" s="101" t="s">
        <v>111</v>
      </c>
      <c r="C51" s="102">
        <v>27</v>
      </c>
      <c r="D51" s="124">
        <v>2832</v>
      </c>
      <c r="E51" s="132">
        <v>92.59</v>
      </c>
      <c r="F51" s="135">
        <v>84.4</v>
      </c>
      <c r="G51" s="103">
        <v>88.89</v>
      </c>
      <c r="H51" s="126">
        <v>91.6</v>
      </c>
      <c r="I51" s="132">
        <v>85.19</v>
      </c>
      <c r="J51" s="135">
        <v>89.8</v>
      </c>
      <c r="K51" s="103">
        <v>88.89</v>
      </c>
      <c r="L51" s="126">
        <v>92.2</v>
      </c>
      <c r="M51" s="132">
        <v>68</v>
      </c>
      <c r="N51" s="130">
        <v>72.3</v>
      </c>
    </row>
    <row r="52" spans="1:14" ht="45" x14ac:dyDescent="0.25">
      <c r="A52" s="100" t="s">
        <v>112</v>
      </c>
      <c r="B52" s="101" t="s">
        <v>113</v>
      </c>
      <c r="C52" s="102">
        <v>24</v>
      </c>
      <c r="D52" s="124">
        <v>383</v>
      </c>
      <c r="E52" s="132">
        <v>95.83</v>
      </c>
      <c r="F52" s="135">
        <v>94.3</v>
      </c>
      <c r="G52" s="103">
        <v>75</v>
      </c>
      <c r="H52" s="126">
        <v>90.6</v>
      </c>
      <c r="I52" s="132">
        <v>87.5</v>
      </c>
      <c r="J52" s="135">
        <v>96.1</v>
      </c>
      <c r="K52" s="103">
        <v>79.17</v>
      </c>
      <c r="L52" s="126">
        <v>93.1</v>
      </c>
      <c r="M52" s="132">
        <v>73.91</v>
      </c>
      <c r="N52" s="130">
        <v>75.900000000000006</v>
      </c>
    </row>
    <row r="53" spans="1:14" ht="90" x14ac:dyDescent="0.25">
      <c r="A53" s="104" t="s">
        <v>114</v>
      </c>
      <c r="B53" s="105" t="s">
        <v>115</v>
      </c>
      <c r="C53" s="106">
        <v>11</v>
      </c>
      <c r="D53" s="125">
        <v>459</v>
      </c>
      <c r="E53" s="134">
        <v>100</v>
      </c>
      <c r="F53" s="136">
        <v>95.9</v>
      </c>
      <c r="G53" s="107">
        <v>90.91</v>
      </c>
      <c r="H53" s="128">
        <v>95.5</v>
      </c>
      <c r="I53" s="134">
        <v>90.91</v>
      </c>
      <c r="J53" s="136">
        <v>95.6</v>
      </c>
      <c r="K53" s="107">
        <v>81.819999999999993</v>
      </c>
      <c r="L53" s="136">
        <v>91.4</v>
      </c>
      <c r="M53" s="134">
        <v>45.45</v>
      </c>
      <c r="N53" s="131">
        <v>78.900000000000006</v>
      </c>
    </row>
    <row r="54" spans="1:14" ht="76.5" customHeight="1" x14ac:dyDescent="0.25">
      <c r="A54" s="265" t="s">
        <v>48</v>
      </c>
      <c r="B54" s="265" t="s">
        <v>49</v>
      </c>
      <c r="C54" s="263" t="s">
        <v>187</v>
      </c>
      <c r="D54" s="257"/>
      <c r="E54" s="267" t="s">
        <v>15</v>
      </c>
      <c r="F54" s="268"/>
      <c r="G54" s="257" t="s">
        <v>16</v>
      </c>
      <c r="H54" s="257"/>
      <c r="I54" s="263" t="s">
        <v>17</v>
      </c>
      <c r="J54" s="264"/>
      <c r="K54" s="257" t="s">
        <v>197</v>
      </c>
      <c r="L54" s="257"/>
      <c r="M54" s="263" t="s">
        <v>50</v>
      </c>
      <c r="N54" s="264"/>
    </row>
    <row r="55" spans="1:14" x14ac:dyDescent="0.25">
      <c r="A55" s="266"/>
      <c r="B55" s="266"/>
      <c r="C55" s="54" t="s">
        <v>4</v>
      </c>
      <c r="D55" s="55" t="s">
        <v>19</v>
      </c>
      <c r="E55" s="137" t="s">
        <v>4</v>
      </c>
      <c r="F55" s="140" t="s">
        <v>19</v>
      </c>
      <c r="G55" s="55" t="s">
        <v>4</v>
      </c>
      <c r="H55" s="55" t="s">
        <v>19</v>
      </c>
      <c r="I55" s="54" t="s">
        <v>4</v>
      </c>
      <c r="J55" s="56" t="s">
        <v>19</v>
      </c>
      <c r="K55" s="55" t="s">
        <v>4</v>
      </c>
      <c r="L55" s="55" t="s">
        <v>19</v>
      </c>
      <c r="M55" s="54" t="s">
        <v>4</v>
      </c>
      <c r="N55" s="56" t="s">
        <v>19</v>
      </c>
    </row>
    <row r="56" spans="1:14" ht="63" customHeight="1" x14ac:dyDescent="0.25">
      <c r="A56" s="200" t="s">
        <v>196</v>
      </c>
      <c r="B56" s="101" t="s">
        <v>119</v>
      </c>
      <c r="C56" s="102">
        <v>30</v>
      </c>
      <c r="D56" s="124">
        <v>2458</v>
      </c>
      <c r="E56" s="91">
        <v>93.33</v>
      </c>
      <c r="F56" s="135">
        <v>94</v>
      </c>
      <c r="G56" s="103">
        <v>93.33</v>
      </c>
      <c r="H56" s="126">
        <v>94.3</v>
      </c>
      <c r="I56" s="132">
        <v>90</v>
      </c>
      <c r="J56" s="135">
        <v>88.4</v>
      </c>
      <c r="K56" s="103">
        <v>90</v>
      </c>
      <c r="L56" s="126">
        <v>90.6</v>
      </c>
      <c r="M56" s="132">
        <v>96.43</v>
      </c>
      <c r="N56" s="130">
        <v>81.900000000000006</v>
      </c>
    </row>
    <row r="57" spans="1:14" x14ac:dyDescent="0.25">
      <c r="A57" s="100" t="s">
        <v>116</v>
      </c>
      <c r="B57" s="101" t="s">
        <v>117</v>
      </c>
      <c r="C57" s="102">
        <v>61</v>
      </c>
      <c r="D57" s="124">
        <v>835</v>
      </c>
      <c r="E57" s="132">
        <v>98.36</v>
      </c>
      <c r="F57" s="135">
        <v>90.1</v>
      </c>
      <c r="G57" s="103">
        <v>93.44</v>
      </c>
      <c r="H57" s="135">
        <v>91.6</v>
      </c>
      <c r="I57" s="132">
        <v>86.89</v>
      </c>
      <c r="J57" s="135">
        <v>88.4</v>
      </c>
      <c r="K57" s="132">
        <v>90.16</v>
      </c>
      <c r="L57" s="126">
        <v>87.8</v>
      </c>
      <c r="M57" s="132">
        <v>58.33</v>
      </c>
      <c r="N57" s="130">
        <v>73.099999999999994</v>
      </c>
    </row>
    <row r="58" spans="1:14" ht="63" customHeight="1" x14ac:dyDescent="0.25">
      <c r="A58" s="100" t="s">
        <v>193</v>
      </c>
      <c r="B58" s="101" t="s">
        <v>129</v>
      </c>
      <c r="C58" s="102">
        <v>2</v>
      </c>
      <c r="D58" s="124">
        <v>1442</v>
      </c>
      <c r="E58" s="132" t="s">
        <v>192</v>
      </c>
      <c r="F58" s="135">
        <v>96</v>
      </c>
      <c r="G58" s="132" t="s">
        <v>192</v>
      </c>
      <c r="H58" s="126">
        <v>89.800000000000011</v>
      </c>
      <c r="I58" s="132" t="s">
        <v>192</v>
      </c>
      <c r="J58" s="135">
        <v>91.1</v>
      </c>
      <c r="K58" s="132" t="s">
        <v>192</v>
      </c>
      <c r="L58" s="126">
        <v>84.7</v>
      </c>
      <c r="M58" s="132" t="s">
        <v>192</v>
      </c>
      <c r="N58" s="130">
        <v>73</v>
      </c>
    </row>
    <row r="59" spans="1:14" ht="30" x14ac:dyDescent="0.25">
      <c r="A59" s="100" t="s">
        <v>171</v>
      </c>
      <c r="B59" s="101" t="s">
        <v>118</v>
      </c>
      <c r="C59" s="102">
        <v>15</v>
      </c>
      <c r="D59" s="124">
        <v>590</v>
      </c>
      <c r="E59" s="132">
        <v>93.33</v>
      </c>
      <c r="F59" s="130">
        <v>94.6</v>
      </c>
      <c r="G59" s="103">
        <v>73.33</v>
      </c>
      <c r="H59" s="129">
        <v>91.4</v>
      </c>
      <c r="I59" s="132">
        <v>86.67</v>
      </c>
      <c r="J59" s="130">
        <v>94.1</v>
      </c>
      <c r="K59" s="103">
        <v>93.33</v>
      </c>
      <c r="L59" s="129">
        <v>91.2</v>
      </c>
      <c r="M59" s="132">
        <v>50</v>
      </c>
      <c r="N59" s="130">
        <v>79.900000000000006</v>
      </c>
    </row>
    <row r="60" spans="1:14" ht="45" x14ac:dyDescent="0.25">
      <c r="A60" s="100" t="s">
        <v>194</v>
      </c>
      <c r="B60" s="101" t="s">
        <v>109</v>
      </c>
      <c r="C60" s="102">
        <v>10</v>
      </c>
      <c r="D60" s="124">
        <v>11671</v>
      </c>
      <c r="E60" s="132">
        <v>100</v>
      </c>
      <c r="F60" s="130">
        <v>89.4</v>
      </c>
      <c r="G60" s="103">
        <v>100</v>
      </c>
      <c r="H60" s="129">
        <v>92.9</v>
      </c>
      <c r="I60" s="132">
        <v>100</v>
      </c>
      <c r="J60" s="130">
        <v>90.9</v>
      </c>
      <c r="K60" s="103">
        <v>100</v>
      </c>
      <c r="L60" s="129">
        <v>92.6</v>
      </c>
      <c r="M60" s="132">
        <v>80</v>
      </c>
      <c r="N60" s="130">
        <v>77.5</v>
      </c>
    </row>
    <row r="61" spans="1:14" ht="90" x14ac:dyDescent="0.25">
      <c r="A61" s="100" t="s">
        <v>120</v>
      </c>
      <c r="B61" s="101" t="s">
        <v>121</v>
      </c>
      <c r="C61" s="108">
        <v>20</v>
      </c>
      <c r="D61" s="187">
        <v>632</v>
      </c>
      <c r="E61" s="132">
        <v>85</v>
      </c>
      <c r="F61" s="135">
        <v>90.5</v>
      </c>
      <c r="G61" s="132">
        <v>60</v>
      </c>
      <c r="H61" s="126">
        <v>91.1</v>
      </c>
      <c r="I61" s="132">
        <v>80</v>
      </c>
      <c r="J61" s="135">
        <v>94</v>
      </c>
      <c r="K61" s="103">
        <v>75</v>
      </c>
      <c r="L61" s="135">
        <v>93.7</v>
      </c>
      <c r="M61" s="132">
        <v>52.94</v>
      </c>
      <c r="N61" s="130">
        <v>72.7</v>
      </c>
    </row>
    <row r="62" spans="1:14" x14ac:dyDescent="0.25">
      <c r="A62" s="100" t="s">
        <v>122</v>
      </c>
      <c r="B62" s="101" t="s">
        <v>123</v>
      </c>
      <c r="C62" s="102">
        <v>12</v>
      </c>
      <c r="D62" s="124">
        <v>628</v>
      </c>
      <c r="E62" s="132">
        <v>75</v>
      </c>
      <c r="F62" s="135">
        <v>88.5</v>
      </c>
      <c r="G62" s="103">
        <v>75</v>
      </c>
      <c r="H62" s="126">
        <v>95.199999999999989</v>
      </c>
      <c r="I62" s="132">
        <v>75</v>
      </c>
      <c r="J62" s="135">
        <v>95.9</v>
      </c>
      <c r="K62" s="103">
        <v>75</v>
      </c>
      <c r="L62" s="126">
        <v>90.5</v>
      </c>
      <c r="M62" s="132">
        <v>100</v>
      </c>
      <c r="N62" s="130">
        <v>87.1</v>
      </c>
    </row>
    <row r="63" spans="1:14" x14ac:dyDescent="0.25">
      <c r="A63" s="100" t="s">
        <v>124</v>
      </c>
      <c r="B63" s="101" t="s">
        <v>125</v>
      </c>
      <c r="C63" s="102">
        <v>49</v>
      </c>
      <c r="D63" s="124">
        <v>2756</v>
      </c>
      <c r="E63" s="132">
        <v>93.88</v>
      </c>
      <c r="F63" s="135">
        <v>87.2</v>
      </c>
      <c r="G63" s="103">
        <v>93.88</v>
      </c>
      <c r="H63" s="126">
        <v>93.5</v>
      </c>
      <c r="I63" s="132">
        <v>89.8</v>
      </c>
      <c r="J63" s="135">
        <v>94</v>
      </c>
      <c r="K63" s="103">
        <v>93.88</v>
      </c>
      <c r="L63" s="126">
        <v>91.4</v>
      </c>
      <c r="M63" s="132">
        <v>78.260000000000005</v>
      </c>
      <c r="N63" s="130">
        <v>81.599999999999994</v>
      </c>
    </row>
    <row r="64" spans="1:14" ht="30" x14ac:dyDescent="0.25">
      <c r="A64" s="100" t="s">
        <v>126</v>
      </c>
      <c r="B64" s="115" t="s">
        <v>109</v>
      </c>
      <c r="C64" s="108">
        <v>158</v>
      </c>
      <c r="D64" s="124">
        <v>11671</v>
      </c>
      <c r="E64" s="132">
        <v>94.3</v>
      </c>
      <c r="F64" s="135">
        <v>89.4</v>
      </c>
      <c r="G64" s="103">
        <v>89.24</v>
      </c>
      <c r="H64" s="126">
        <v>92.9</v>
      </c>
      <c r="I64" s="132">
        <v>87.34</v>
      </c>
      <c r="J64" s="135">
        <v>90.9</v>
      </c>
      <c r="K64" s="103">
        <v>89.24</v>
      </c>
      <c r="L64" s="126">
        <v>92.6</v>
      </c>
      <c r="M64" s="132">
        <v>76.349999999999994</v>
      </c>
      <c r="N64" s="130">
        <v>77.5</v>
      </c>
    </row>
    <row r="65" spans="1:15" ht="60" x14ac:dyDescent="0.25">
      <c r="A65" s="100" t="s">
        <v>128</v>
      </c>
      <c r="B65" s="115" t="s">
        <v>129</v>
      </c>
      <c r="C65" s="108">
        <v>31</v>
      </c>
      <c r="D65" s="124">
        <v>1442</v>
      </c>
      <c r="E65" s="132">
        <v>96.77</v>
      </c>
      <c r="F65" s="135">
        <v>96</v>
      </c>
      <c r="G65" s="103">
        <v>87.1</v>
      </c>
      <c r="H65" s="126">
        <v>89.800000000000011</v>
      </c>
      <c r="I65" s="132">
        <v>87.1</v>
      </c>
      <c r="J65" s="135">
        <v>91.1</v>
      </c>
      <c r="K65" s="103">
        <v>83.87</v>
      </c>
      <c r="L65" s="126">
        <v>84.7</v>
      </c>
      <c r="M65" s="132">
        <v>50</v>
      </c>
      <c r="N65" s="130">
        <v>73</v>
      </c>
    </row>
    <row r="66" spans="1:15" ht="60" x14ac:dyDescent="0.25">
      <c r="A66" s="104" t="s">
        <v>178</v>
      </c>
      <c r="B66" s="105" t="s">
        <v>172</v>
      </c>
      <c r="C66" s="106">
        <v>18</v>
      </c>
      <c r="D66" s="125">
        <v>488</v>
      </c>
      <c r="E66" s="134">
        <v>100</v>
      </c>
      <c r="F66" s="136">
        <v>87.5</v>
      </c>
      <c r="G66" s="107">
        <v>83.33</v>
      </c>
      <c r="H66" s="128">
        <v>85</v>
      </c>
      <c r="I66" s="134">
        <v>100</v>
      </c>
      <c r="J66" s="136">
        <v>89.9</v>
      </c>
      <c r="K66" s="107">
        <v>100</v>
      </c>
      <c r="L66" s="128">
        <v>94.8</v>
      </c>
      <c r="M66" s="134">
        <v>66.67</v>
      </c>
      <c r="N66" s="131">
        <v>63.5</v>
      </c>
    </row>
    <row r="67" spans="1:15" ht="76.5" customHeight="1" x14ac:dyDescent="0.25">
      <c r="A67" s="265" t="s">
        <v>48</v>
      </c>
      <c r="B67" s="265" t="s">
        <v>49</v>
      </c>
      <c r="C67" s="263" t="s">
        <v>187</v>
      </c>
      <c r="D67" s="257"/>
      <c r="E67" s="267" t="s">
        <v>15</v>
      </c>
      <c r="F67" s="268"/>
      <c r="G67" s="257" t="s">
        <v>16</v>
      </c>
      <c r="H67" s="257"/>
      <c r="I67" s="263" t="s">
        <v>17</v>
      </c>
      <c r="J67" s="264"/>
      <c r="K67" s="257" t="s">
        <v>197</v>
      </c>
      <c r="L67" s="257"/>
      <c r="M67" s="263" t="s">
        <v>50</v>
      </c>
      <c r="N67" s="264"/>
    </row>
    <row r="68" spans="1:15" x14ac:dyDescent="0.25">
      <c r="A68" s="266"/>
      <c r="B68" s="266"/>
      <c r="C68" s="54" t="s">
        <v>4</v>
      </c>
      <c r="D68" s="55" t="s">
        <v>19</v>
      </c>
      <c r="E68" s="137" t="s">
        <v>4</v>
      </c>
      <c r="F68" s="140" t="s">
        <v>19</v>
      </c>
      <c r="G68" s="55" t="s">
        <v>4</v>
      </c>
      <c r="H68" s="55" t="s">
        <v>19</v>
      </c>
      <c r="I68" s="54" t="s">
        <v>4</v>
      </c>
      <c r="J68" s="56" t="s">
        <v>19</v>
      </c>
      <c r="K68" s="55" t="s">
        <v>4</v>
      </c>
      <c r="L68" s="55" t="s">
        <v>19</v>
      </c>
      <c r="M68" s="54" t="s">
        <v>4</v>
      </c>
      <c r="N68" s="56" t="s">
        <v>19</v>
      </c>
    </row>
    <row r="69" spans="1:15" ht="28.5" customHeight="1" x14ac:dyDescent="0.25">
      <c r="A69" s="100" t="s">
        <v>173</v>
      </c>
      <c r="B69" s="101" t="s">
        <v>130</v>
      </c>
      <c r="C69" s="102">
        <v>34</v>
      </c>
      <c r="D69" s="124">
        <v>1083</v>
      </c>
      <c r="E69" s="132">
        <v>97.06</v>
      </c>
      <c r="F69" s="135">
        <v>85.5</v>
      </c>
      <c r="G69" s="103">
        <v>94.12</v>
      </c>
      <c r="H69" s="126">
        <v>92.9</v>
      </c>
      <c r="I69" s="132">
        <v>91.18</v>
      </c>
      <c r="J69" s="135">
        <v>94.4</v>
      </c>
      <c r="K69" s="103">
        <v>97.06</v>
      </c>
      <c r="L69" s="126">
        <v>94</v>
      </c>
      <c r="M69" s="132">
        <v>75.760000000000005</v>
      </c>
      <c r="N69" s="130">
        <v>78.400000000000006</v>
      </c>
    </row>
    <row r="70" spans="1:15" ht="45" x14ac:dyDescent="0.25">
      <c r="A70" s="100" t="s">
        <v>131</v>
      </c>
      <c r="B70" s="101" t="s">
        <v>132</v>
      </c>
      <c r="C70" s="108">
        <v>12</v>
      </c>
      <c r="D70" s="124">
        <v>927</v>
      </c>
      <c r="E70" s="132">
        <v>100</v>
      </c>
      <c r="F70" s="135">
        <v>83.5</v>
      </c>
      <c r="G70" s="103">
        <v>83.33</v>
      </c>
      <c r="H70" s="126">
        <v>79.400000000000006</v>
      </c>
      <c r="I70" s="91">
        <v>75</v>
      </c>
      <c r="J70" s="135">
        <v>81.8</v>
      </c>
      <c r="K70" s="103">
        <v>100</v>
      </c>
      <c r="L70" s="126">
        <v>85.300000000000011</v>
      </c>
      <c r="M70" s="132">
        <v>58.33</v>
      </c>
      <c r="N70" s="130">
        <v>66</v>
      </c>
    </row>
    <row r="71" spans="1:15" ht="30" x14ac:dyDescent="0.25">
      <c r="A71" s="100" t="s">
        <v>133</v>
      </c>
      <c r="B71" s="101" t="s">
        <v>134</v>
      </c>
      <c r="C71" s="102">
        <v>92</v>
      </c>
      <c r="D71" s="187">
        <v>2083</v>
      </c>
      <c r="E71" s="132">
        <v>91.3</v>
      </c>
      <c r="F71" s="135">
        <v>89.2</v>
      </c>
      <c r="G71" s="132">
        <v>91.3</v>
      </c>
      <c r="H71" s="135">
        <v>90.699999999999989</v>
      </c>
      <c r="I71" s="132">
        <v>91.3</v>
      </c>
      <c r="J71" s="135">
        <v>92.4</v>
      </c>
      <c r="K71" s="132">
        <v>89.13</v>
      </c>
      <c r="L71" s="135">
        <v>92.9</v>
      </c>
      <c r="M71" s="132">
        <v>80.95</v>
      </c>
      <c r="N71" s="130">
        <v>69.900000000000006</v>
      </c>
    </row>
    <row r="72" spans="1:15" ht="75" x14ac:dyDescent="0.25">
      <c r="A72" s="100" t="s">
        <v>135</v>
      </c>
      <c r="B72" s="101" t="s">
        <v>136</v>
      </c>
      <c r="C72" s="102">
        <v>26</v>
      </c>
      <c r="D72" s="124">
        <v>2115</v>
      </c>
      <c r="E72" s="132">
        <v>92.31</v>
      </c>
      <c r="F72" s="135">
        <v>91</v>
      </c>
      <c r="G72" s="103">
        <v>84.62</v>
      </c>
      <c r="H72" s="126">
        <v>91.9</v>
      </c>
      <c r="I72" s="132">
        <v>76.92</v>
      </c>
      <c r="J72" s="135">
        <v>94.699999999999989</v>
      </c>
      <c r="K72" s="103">
        <v>80.77</v>
      </c>
      <c r="L72" s="126">
        <v>91.7</v>
      </c>
      <c r="M72" s="132">
        <v>87.5</v>
      </c>
      <c r="N72" s="130">
        <v>79.5</v>
      </c>
    </row>
    <row r="73" spans="1:15" ht="45" x14ac:dyDescent="0.25">
      <c r="A73" s="100" t="s">
        <v>137</v>
      </c>
      <c r="B73" s="101" t="s">
        <v>138</v>
      </c>
      <c r="C73" s="102">
        <v>13</v>
      </c>
      <c r="D73" s="124">
        <v>446</v>
      </c>
      <c r="E73" s="132">
        <v>100</v>
      </c>
      <c r="F73" s="135">
        <v>92.6</v>
      </c>
      <c r="G73" s="103">
        <v>46.15</v>
      </c>
      <c r="H73" s="126">
        <v>69</v>
      </c>
      <c r="I73" s="132">
        <v>53.85</v>
      </c>
      <c r="J73" s="135">
        <v>77</v>
      </c>
      <c r="K73" s="103">
        <v>46.15</v>
      </c>
      <c r="L73" s="126">
        <v>83.1</v>
      </c>
      <c r="M73" s="132">
        <v>38.46</v>
      </c>
      <c r="N73" s="130">
        <v>67.599999999999994</v>
      </c>
    </row>
    <row r="74" spans="1:15" ht="45" x14ac:dyDescent="0.25">
      <c r="A74" s="100" t="s">
        <v>139</v>
      </c>
      <c r="B74" s="101" t="s">
        <v>140</v>
      </c>
      <c r="C74" s="102">
        <v>14</v>
      </c>
      <c r="D74" s="124">
        <v>471</v>
      </c>
      <c r="E74" s="132">
        <v>100</v>
      </c>
      <c r="F74" s="135">
        <v>93.2</v>
      </c>
      <c r="G74" s="103">
        <v>100</v>
      </c>
      <c r="H74" s="126">
        <v>92.800000000000011</v>
      </c>
      <c r="I74" s="132">
        <v>92.86</v>
      </c>
      <c r="J74" s="135">
        <v>91.1</v>
      </c>
      <c r="K74" s="103">
        <v>100</v>
      </c>
      <c r="L74" s="126">
        <v>90.5</v>
      </c>
      <c r="M74" s="132">
        <v>92.86</v>
      </c>
      <c r="N74" s="130">
        <v>78.099999999999994</v>
      </c>
    </row>
    <row r="75" spans="1:15" x14ac:dyDescent="0.25">
      <c r="A75" s="100" t="s">
        <v>141</v>
      </c>
      <c r="B75" s="101" t="s">
        <v>142</v>
      </c>
      <c r="C75" s="102">
        <v>19</v>
      </c>
      <c r="D75" s="124">
        <v>1275</v>
      </c>
      <c r="E75" s="132">
        <v>100</v>
      </c>
      <c r="F75" s="135">
        <v>91.5</v>
      </c>
      <c r="G75" s="103">
        <v>89.47</v>
      </c>
      <c r="H75" s="126">
        <v>92.3</v>
      </c>
      <c r="I75" s="132">
        <v>89.47</v>
      </c>
      <c r="J75" s="135">
        <v>93.1</v>
      </c>
      <c r="K75" s="103">
        <v>89.47</v>
      </c>
      <c r="L75" s="126">
        <v>92</v>
      </c>
      <c r="M75" s="132">
        <v>68.42</v>
      </c>
      <c r="N75" s="130">
        <v>77.400000000000006</v>
      </c>
    </row>
    <row r="76" spans="1:15" ht="18.75" customHeight="1" x14ac:dyDescent="0.25">
      <c r="A76" s="270" t="s">
        <v>176</v>
      </c>
      <c r="B76" s="100" t="s">
        <v>175</v>
      </c>
      <c r="C76" s="102">
        <v>9</v>
      </c>
      <c r="D76" s="124">
        <v>1337</v>
      </c>
      <c r="E76" s="132">
        <v>88.89</v>
      </c>
      <c r="F76" s="130">
        <v>88.3</v>
      </c>
      <c r="G76" s="103">
        <v>77.78</v>
      </c>
      <c r="H76" s="129">
        <v>91.4</v>
      </c>
      <c r="I76" s="132">
        <v>88.89</v>
      </c>
      <c r="J76" s="130">
        <v>92.8</v>
      </c>
      <c r="K76" s="103">
        <v>88.89</v>
      </c>
      <c r="L76" s="129">
        <v>93.4</v>
      </c>
      <c r="M76" s="132">
        <v>75</v>
      </c>
      <c r="N76" s="130">
        <v>78.099999999999994</v>
      </c>
    </row>
    <row r="77" spans="1:15" ht="18.75" customHeight="1" x14ac:dyDescent="0.25">
      <c r="A77" s="270"/>
      <c r="B77" s="100" t="s">
        <v>174</v>
      </c>
      <c r="C77" s="102">
        <v>31</v>
      </c>
      <c r="D77" s="124">
        <v>1033</v>
      </c>
      <c r="E77" s="132">
        <v>93.55</v>
      </c>
      <c r="F77" s="130">
        <v>85.9</v>
      </c>
      <c r="G77" s="103">
        <v>90.32</v>
      </c>
      <c r="H77" s="129">
        <v>92.4</v>
      </c>
      <c r="I77" s="132">
        <v>87.1</v>
      </c>
      <c r="J77" s="130">
        <v>94</v>
      </c>
      <c r="K77" s="103">
        <v>90.32</v>
      </c>
      <c r="L77" s="129">
        <v>94.1</v>
      </c>
      <c r="M77" s="132">
        <v>79.31</v>
      </c>
      <c r="N77" s="130">
        <v>80.2</v>
      </c>
    </row>
    <row r="78" spans="1:15" ht="30" x14ac:dyDescent="0.25">
      <c r="A78" s="158" t="s">
        <v>180</v>
      </c>
      <c r="B78" s="105" t="s">
        <v>143</v>
      </c>
      <c r="C78" s="106">
        <v>44</v>
      </c>
      <c r="D78" s="188">
        <v>592</v>
      </c>
      <c r="E78" s="134">
        <v>100</v>
      </c>
      <c r="F78" s="136">
        <v>92.4</v>
      </c>
      <c r="G78" s="107">
        <v>95.45</v>
      </c>
      <c r="H78" s="128">
        <v>88.1</v>
      </c>
      <c r="I78" s="134">
        <v>100</v>
      </c>
      <c r="J78" s="136">
        <v>91.6</v>
      </c>
      <c r="K78" s="107">
        <v>93.18</v>
      </c>
      <c r="L78" s="128">
        <v>93.3</v>
      </c>
      <c r="M78" s="134">
        <v>79.55</v>
      </c>
      <c r="N78" s="131">
        <v>69.5</v>
      </c>
      <c r="O78" s="157"/>
    </row>
    <row r="79" spans="1:15" ht="76.5" customHeight="1" x14ac:dyDescent="0.25">
      <c r="A79" s="265" t="s">
        <v>48</v>
      </c>
      <c r="B79" s="265" t="s">
        <v>49</v>
      </c>
      <c r="C79" s="263" t="s">
        <v>187</v>
      </c>
      <c r="D79" s="257"/>
      <c r="E79" s="267" t="s">
        <v>15</v>
      </c>
      <c r="F79" s="268"/>
      <c r="G79" s="257" t="s">
        <v>16</v>
      </c>
      <c r="H79" s="257"/>
      <c r="I79" s="263" t="s">
        <v>17</v>
      </c>
      <c r="J79" s="264"/>
      <c r="K79" s="257" t="s">
        <v>197</v>
      </c>
      <c r="L79" s="257"/>
      <c r="M79" s="263" t="s">
        <v>50</v>
      </c>
      <c r="N79" s="264"/>
    </row>
    <row r="80" spans="1:15" x14ac:dyDescent="0.25">
      <c r="A80" s="266"/>
      <c r="B80" s="266"/>
      <c r="C80" s="54" t="s">
        <v>4</v>
      </c>
      <c r="D80" s="55" t="s">
        <v>19</v>
      </c>
      <c r="E80" s="137" t="s">
        <v>4</v>
      </c>
      <c r="F80" s="140" t="s">
        <v>19</v>
      </c>
      <c r="G80" s="55" t="s">
        <v>4</v>
      </c>
      <c r="H80" s="55" t="s">
        <v>19</v>
      </c>
      <c r="I80" s="54" t="s">
        <v>4</v>
      </c>
      <c r="J80" s="56" t="s">
        <v>19</v>
      </c>
      <c r="K80" s="55" t="s">
        <v>4</v>
      </c>
      <c r="L80" s="55" t="s">
        <v>19</v>
      </c>
      <c r="M80" s="54" t="s">
        <v>4</v>
      </c>
      <c r="N80" s="56" t="s">
        <v>19</v>
      </c>
    </row>
    <row r="81" spans="1:14" ht="30" x14ac:dyDescent="0.25">
      <c r="A81" s="117" t="s">
        <v>144</v>
      </c>
      <c r="B81" s="112" t="s">
        <v>145</v>
      </c>
      <c r="C81" s="113">
        <v>43</v>
      </c>
      <c r="D81" s="124">
        <v>4480</v>
      </c>
      <c r="E81" s="132">
        <v>100</v>
      </c>
      <c r="F81" s="135">
        <v>96.3</v>
      </c>
      <c r="G81" s="103">
        <v>97.67</v>
      </c>
      <c r="H81" s="126">
        <v>93.5</v>
      </c>
      <c r="I81" s="91">
        <v>90.7</v>
      </c>
      <c r="J81" s="135">
        <v>87.6</v>
      </c>
      <c r="K81" s="103">
        <v>95.35</v>
      </c>
      <c r="L81" s="126">
        <v>79.3</v>
      </c>
      <c r="M81" s="139">
        <v>86.05</v>
      </c>
      <c r="N81" s="144">
        <v>70.900000000000006</v>
      </c>
    </row>
    <row r="82" spans="1:14" x14ac:dyDescent="0.25">
      <c r="A82" s="118" t="s">
        <v>146</v>
      </c>
      <c r="B82" s="101" t="s">
        <v>145</v>
      </c>
      <c r="C82" s="108">
        <v>84</v>
      </c>
      <c r="D82" s="124">
        <v>4480</v>
      </c>
      <c r="E82" s="132">
        <v>95.24</v>
      </c>
      <c r="F82" s="135">
        <v>96.3</v>
      </c>
      <c r="G82" s="103">
        <v>91.67</v>
      </c>
      <c r="H82" s="126">
        <v>93.5</v>
      </c>
      <c r="I82" s="132">
        <v>85.71</v>
      </c>
      <c r="J82" s="135">
        <v>87.6</v>
      </c>
      <c r="K82" s="103">
        <v>78.569999999999993</v>
      </c>
      <c r="L82" s="126">
        <v>79.3</v>
      </c>
      <c r="M82" s="132">
        <v>71.25</v>
      </c>
      <c r="N82" s="130">
        <v>70.900000000000006</v>
      </c>
    </row>
    <row r="83" spans="1:14" x14ac:dyDescent="0.25">
      <c r="A83" s="100" t="s">
        <v>32</v>
      </c>
      <c r="B83" s="101" t="s">
        <v>147</v>
      </c>
      <c r="C83" s="108">
        <v>135</v>
      </c>
      <c r="D83" s="124">
        <v>11715</v>
      </c>
      <c r="E83" s="132">
        <v>96.3</v>
      </c>
      <c r="F83" s="135">
        <v>92.1</v>
      </c>
      <c r="G83" s="103">
        <v>85.9</v>
      </c>
      <c r="H83" s="126">
        <v>90</v>
      </c>
      <c r="I83" s="132">
        <v>80</v>
      </c>
      <c r="J83" s="135">
        <v>82.9</v>
      </c>
      <c r="K83" s="103">
        <v>86.67</v>
      </c>
      <c r="L83" s="126">
        <v>78.599999999999994</v>
      </c>
      <c r="M83" s="132">
        <v>73.849999999999994</v>
      </c>
      <c r="N83" s="135">
        <v>71.2</v>
      </c>
    </row>
    <row r="84" spans="1:14" x14ac:dyDescent="0.25">
      <c r="A84" s="119" t="s">
        <v>148</v>
      </c>
      <c r="B84" s="105" t="s">
        <v>149</v>
      </c>
      <c r="C84" s="110">
        <v>204</v>
      </c>
      <c r="D84" s="124">
        <v>10673</v>
      </c>
      <c r="E84" s="134">
        <v>94.61</v>
      </c>
      <c r="F84" s="135">
        <v>92.7</v>
      </c>
      <c r="G84" s="107">
        <v>78.92</v>
      </c>
      <c r="H84" s="126">
        <v>85.8</v>
      </c>
      <c r="I84" s="134">
        <v>61.76</v>
      </c>
      <c r="J84" s="135">
        <v>74.3</v>
      </c>
      <c r="K84" s="107">
        <v>64.22</v>
      </c>
      <c r="L84" s="126">
        <v>69.099999999999994</v>
      </c>
      <c r="M84" s="132">
        <v>54.17</v>
      </c>
      <c r="N84" s="131">
        <v>64.400000000000006</v>
      </c>
    </row>
    <row r="85" spans="1:14" x14ac:dyDescent="0.25">
      <c r="A85" s="32" t="s">
        <v>38</v>
      </c>
      <c r="B85" s="33"/>
      <c r="C85" s="6">
        <v>2946</v>
      </c>
      <c r="D85" s="171">
        <v>290772</v>
      </c>
      <c r="E85" s="67">
        <v>96</v>
      </c>
      <c r="F85" s="174">
        <v>92.8</v>
      </c>
      <c r="G85" s="37">
        <v>92.5</v>
      </c>
      <c r="H85" s="189">
        <v>90.800000000000011</v>
      </c>
      <c r="I85" s="141">
        <v>89.9</v>
      </c>
      <c r="J85" s="175">
        <v>88.6</v>
      </c>
      <c r="K85" s="73">
        <v>87.6</v>
      </c>
      <c r="L85" s="189">
        <v>85.9</v>
      </c>
      <c r="M85" s="142">
        <v>73.099999999999994</v>
      </c>
      <c r="N85" s="174">
        <v>72.8</v>
      </c>
    </row>
    <row r="86" spans="1:14" ht="15" customHeight="1" x14ac:dyDescent="0.25">
      <c r="A86" s="209" t="s">
        <v>182</v>
      </c>
      <c r="B86" s="209"/>
      <c r="C86" s="209"/>
      <c r="D86" s="209"/>
      <c r="E86" s="209"/>
      <c r="F86" s="209"/>
    </row>
    <row r="87" spans="1:14" x14ac:dyDescent="0.25">
      <c r="A87" s="159" t="s">
        <v>179</v>
      </c>
    </row>
    <row r="88" spans="1:14" x14ac:dyDescent="0.25">
      <c r="A88" s="159" t="s">
        <v>190</v>
      </c>
    </row>
  </sheetData>
  <mergeCells count="67">
    <mergeCell ref="I67:J67"/>
    <mergeCell ref="K67:L67"/>
    <mergeCell ref="M67:N67"/>
    <mergeCell ref="A67:A68"/>
    <mergeCell ref="B67:B68"/>
    <mergeCell ref="C67:D67"/>
    <mergeCell ref="E67:F67"/>
    <mergeCell ref="G67:H67"/>
    <mergeCell ref="I40:J40"/>
    <mergeCell ref="K40:L40"/>
    <mergeCell ref="M40:N40"/>
    <mergeCell ref="A86:F86"/>
    <mergeCell ref="A54:A55"/>
    <mergeCell ref="B54:B55"/>
    <mergeCell ref="C54:D54"/>
    <mergeCell ref="E54:F54"/>
    <mergeCell ref="A76:A77"/>
    <mergeCell ref="A79:A80"/>
    <mergeCell ref="B79:B80"/>
    <mergeCell ref="C79:D79"/>
    <mergeCell ref="E79:F79"/>
    <mergeCell ref="G40:H40"/>
    <mergeCell ref="G54:H54"/>
    <mergeCell ref="B40:B41"/>
    <mergeCell ref="I36:J36"/>
    <mergeCell ref="K36:L36"/>
    <mergeCell ref="A1:N1"/>
    <mergeCell ref="I3:J3"/>
    <mergeCell ref="K3:L3"/>
    <mergeCell ref="M3:N3"/>
    <mergeCell ref="A14:A15"/>
    <mergeCell ref="B14:B15"/>
    <mergeCell ref="C14:D14"/>
    <mergeCell ref="E14:F14"/>
    <mergeCell ref="G14:H14"/>
    <mergeCell ref="I14:J14"/>
    <mergeCell ref="K14:L14"/>
    <mergeCell ref="M14:N14"/>
    <mergeCell ref="A3:A4"/>
    <mergeCell ref="M36:N36"/>
    <mergeCell ref="A36:A37"/>
    <mergeCell ref="B36:B37"/>
    <mergeCell ref="C36:D36"/>
    <mergeCell ref="E36:F36"/>
    <mergeCell ref="G3:H3"/>
    <mergeCell ref="C40:D40"/>
    <mergeCell ref="E40:F40"/>
    <mergeCell ref="G79:H79"/>
    <mergeCell ref="B3:B4"/>
    <mergeCell ref="C3:D3"/>
    <mergeCell ref="E3:F3"/>
    <mergeCell ref="I79:J79"/>
    <mergeCell ref="K79:L79"/>
    <mergeCell ref="M79:N79"/>
    <mergeCell ref="A24:A25"/>
    <mergeCell ref="B24:B25"/>
    <mergeCell ref="C24:D24"/>
    <mergeCell ref="E24:F24"/>
    <mergeCell ref="G24:H24"/>
    <mergeCell ref="I24:J24"/>
    <mergeCell ref="K24:L24"/>
    <mergeCell ref="M24:N24"/>
    <mergeCell ref="G36:H36"/>
    <mergeCell ref="I54:J54"/>
    <mergeCell ref="K54:L54"/>
    <mergeCell ref="M54:N54"/>
    <mergeCell ref="A40:A41"/>
  </mergeCells>
  <pageMargins left="0.7" right="0.7" top="0.75" bottom="0.75" header="0.3" footer="0.3"/>
  <pageSetup paperSize="9" scale="86" fitToHeight="0" orientation="landscape" r:id="rId1"/>
  <rowBreaks count="6" manualBreakCount="6">
    <brk id="13" max="13" man="1"/>
    <brk id="23" max="13" man="1"/>
    <brk id="35" max="16383" man="1"/>
    <brk id="39" max="13" man="1"/>
    <brk id="53" max="16383" man="1"/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sqref="A1:I1"/>
    </sheetView>
  </sheetViews>
  <sheetFormatPr defaultRowHeight="15" x14ac:dyDescent="0.25"/>
  <cols>
    <col min="1" max="1" width="33.85546875" customWidth="1"/>
    <col min="2" max="9" width="15.7109375" customWidth="1"/>
  </cols>
  <sheetData>
    <row r="1" spans="1:11" x14ac:dyDescent="0.25">
      <c r="A1" s="217" t="s">
        <v>210</v>
      </c>
      <c r="B1" s="217"/>
      <c r="C1" s="217"/>
      <c r="D1" s="217"/>
      <c r="E1" s="217"/>
      <c r="F1" s="217"/>
      <c r="G1" s="217"/>
      <c r="H1" s="217"/>
      <c r="I1" s="217"/>
    </row>
    <row r="2" spans="1:11" ht="15.75" x14ac:dyDescent="0.25">
      <c r="A2" s="205"/>
      <c r="B2" s="273" t="s">
        <v>203</v>
      </c>
      <c r="C2" s="272"/>
      <c r="D2" s="274" t="s">
        <v>204</v>
      </c>
      <c r="E2" s="275"/>
      <c r="F2" s="271" t="s">
        <v>207</v>
      </c>
      <c r="G2" s="272"/>
      <c r="H2" s="273" t="s">
        <v>206</v>
      </c>
      <c r="I2" s="272"/>
      <c r="K2" s="36"/>
    </row>
    <row r="3" spans="1:11" ht="75.75" customHeight="1" x14ac:dyDescent="0.25">
      <c r="A3" s="66" t="s">
        <v>154</v>
      </c>
      <c r="B3" s="23" t="s">
        <v>155</v>
      </c>
      <c r="C3" s="24" t="s">
        <v>156</v>
      </c>
      <c r="D3" s="23" t="s">
        <v>155</v>
      </c>
      <c r="E3" s="24" t="s">
        <v>156</v>
      </c>
      <c r="F3" s="27" t="s">
        <v>157</v>
      </c>
      <c r="G3" s="24" t="s">
        <v>156</v>
      </c>
      <c r="H3" s="27" t="s">
        <v>157</v>
      </c>
      <c r="I3" s="24" t="s">
        <v>156</v>
      </c>
    </row>
    <row r="4" spans="1:11" x14ac:dyDescent="0.25">
      <c r="A4" s="26" t="s">
        <v>4</v>
      </c>
      <c r="B4" s="72">
        <v>41.01</v>
      </c>
      <c r="C4" s="72">
        <v>48.13</v>
      </c>
      <c r="D4" s="178">
        <v>36.6</v>
      </c>
      <c r="E4" s="14">
        <v>52.1</v>
      </c>
      <c r="F4">
        <v>34.5</v>
      </c>
      <c r="G4">
        <v>50.8</v>
      </c>
      <c r="H4" s="49">
        <v>31.3</v>
      </c>
      <c r="I4" s="50">
        <v>52.6</v>
      </c>
    </row>
    <row r="5" spans="1:11" x14ac:dyDescent="0.25">
      <c r="A5" s="25" t="s">
        <v>5</v>
      </c>
      <c r="B5" s="72">
        <v>28.6</v>
      </c>
      <c r="C5">
        <v>49.5</v>
      </c>
      <c r="D5" s="21">
        <v>26.2</v>
      </c>
      <c r="E5" s="13">
        <v>49.2</v>
      </c>
      <c r="F5">
        <v>25.1</v>
      </c>
      <c r="G5">
        <v>48.5</v>
      </c>
      <c r="H5" s="51">
        <v>24.3</v>
      </c>
      <c r="I5" s="52">
        <v>47.7</v>
      </c>
    </row>
    <row r="6" spans="1:11" x14ac:dyDescent="0.25">
      <c r="A6" s="276"/>
      <c r="B6" s="277"/>
      <c r="C6" s="277"/>
      <c r="D6" s="277"/>
      <c r="E6" s="277"/>
      <c r="F6" s="277"/>
      <c r="G6" s="277"/>
      <c r="H6" s="277"/>
      <c r="I6" s="277"/>
    </row>
    <row r="7" spans="1:11" ht="60" x14ac:dyDescent="0.25">
      <c r="A7" s="65" t="s">
        <v>158</v>
      </c>
      <c r="B7" s="23" t="s">
        <v>159</v>
      </c>
      <c r="C7" s="24" t="s">
        <v>160</v>
      </c>
      <c r="D7" s="23" t="s">
        <v>159</v>
      </c>
      <c r="E7" s="24" t="s">
        <v>160</v>
      </c>
      <c r="F7" s="23" t="s">
        <v>159</v>
      </c>
      <c r="G7" s="24" t="s">
        <v>160</v>
      </c>
      <c r="H7" s="23" t="s">
        <v>159</v>
      </c>
      <c r="I7" s="24" t="s">
        <v>160</v>
      </c>
    </row>
    <row r="8" spans="1:11" x14ac:dyDescent="0.25">
      <c r="A8" s="26" t="s">
        <v>4</v>
      </c>
      <c r="B8" s="72">
        <v>66.099999999999994</v>
      </c>
      <c r="C8" s="72">
        <v>33.9</v>
      </c>
      <c r="D8" s="178">
        <v>64.099999999999994</v>
      </c>
      <c r="E8" s="14">
        <v>35.9</v>
      </c>
      <c r="F8">
        <v>58.9</v>
      </c>
      <c r="G8">
        <v>41.1</v>
      </c>
      <c r="H8" s="49">
        <v>54.1</v>
      </c>
      <c r="I8" s="50">
        <v>45.9</v>
      </c>
    </row>
    <row r="9" spans="1:11" x14ac:dyDescent="0.25">
      <c r="A9" s="181" t="s">
        <v>5</v>
      </c>
      <c r="B9" s="72">
        <v>55.8</v>
      </c>
      <c r="C9" s="72">
        <v>44.2</v>
      </c>
      <c r="D9" s="21">
        <v>53.6</v>
      </c>
      <c r="E9" s="12">
        <v>46.4</v>
      </c>
      <c r="F9">
        <v>51.6</v>
      </c>
      <c r="G9">
        <v>48.4</v>
      </c>
      <c r="H9" s="53">
        <v>49.7</v>
      </c>
      <c r="I9" s="182">
        <v>50.3</v>
      </c>
    </row>
    <row r="10" spans="1:11" x14ac:dyDescent="0.25">
      <c r="A10" s="276"/>
      <c r="B10" s="277"/>
      <c r="C10" s="277"/>
      <c r="D10" s="277"/>
      <c r="E10" s="277"/>
      <c r="F10" s="277"/>
      <c r="G10" s="277"/>
      <c r="H10" s="277"/>
      <c r="I10" s="277"/>
    </row>
    <row r="11" spans="1:11" ht="45" x14ac:dyDescent="0.25">
      <c r="A11" s="65" t="s">
        <v>161</v>
      </c>
      <c r="B11" s="23" t="s">
        <v>162</v>
      </c>
      <c r="C11" s="24" t="s">
        <v>163</v>
      </c>
      <c r="D11" s="23" t="s">
        <v>162</v>
      </c>
      <c r="E11" s="24" t="s">
        <v>163</v>
      </c>
      <c r="F11" s="27" t="s">
        <v>164</v>
      </c>
      <c r="G11" s="24" t="s">
        <v>163</v>
      </c>
      <c r="H11" s="27" t="s">
        <v>162</v>
      </c>
      <c r="I11" s="24" t="s">
        <v>163</v>
      </c>
    </row>
    <row r="12" spans="1:11" x14ac:dyDescent="0.25">
      <c r="A12" s="26" t="s">
        <v>4</v>
      </c>
      <c r="B12" s="72">
        <v>54.39</v>
      </c>
      <c r="C12" s="72">
        <v>43.21</v>
      </c>
      <c r="D12" s="179">
        <v>53</v>
      </c>
      <c r="E12" s="45">
        <v>43.3</v>
      </c>
      <c r="F12">
        <v>50.4</v>
      </c>
      <c r="G12">
        <v>45.8</v>
      </c>
      <c r="H12" s="30">
        <v>48.3</v>
      </c>
      <c r="I12" s="31">
        <v>47.9</v>
      </c>
    </row>
    <row r="13" spans="1:11" x14ac:dyDescent="0.25">
      <c r="A13" s="25" t="s">
        <v>5</v>
      </c>
      <c r="B13">
        <v>42.5</v>
      </c>
      <c r="C13">
        <v>50.9</v>
      </c>
      <c r="D13" s="180">
        <v>41.5</v>
      </c>
      <c r="E13" s="46">
        <v>50.9</v>
      </c>
      <c r="F13">
        <v>39.200000000000003</v>
      </c>
      <c r="G13">
        <v>52.5</v>
      </c>
      <c r="H13" s="28">
        <v>37.4</v>
      </c>
      <c r="I13" s="29">
        <v>53.6</v>
      </c>
    </row>
    <row r="14" spans="1:11" x14ac:dyDescent="0.25">
      <c r="A14" s="276"/>
      <c r="B14" s="277"/>
      <c r="C14" s="277"/>
      <c r="D14" s="277"/>
      <c r="E14" s="277"/>
      <c r="F14" s="277"/>
      <c r="G14" s="277"/>
      <c r="H14" s="277"/>
      <c r="I14" s="277"/>
    </row>
    <row r="15" spans="1:11" ht="60" customHeight="1" x14ac:dyDescent="0.25">
      <c r="A15" s="65" t="s">
        <v>165</v>
      </c>
      <c r="B15" s="23" t="s">
        <v>157</v>
      </c>
      <c r="C15" s="24" t="s">
        <v>156</v>
      </c>
      <c r="D15" s="23" t="s">
        <v>157</v>
      </c>
      <c r="E15" s="24" t="s">
        <v>156</v>
      </c>
      <c r="F15" s="27" t="s">
        <v>157</v>
      </c>
      <c r="G15" s="24" t="s">
        <v>156</v>
      </c>
      <c r="H15" s="27" t="s">
        <v>157</v>
      </c>
      <c r="I15" s="24" t="s">
        <v>156</v>
      </c>
    </row>
    <row r="16" spans="1:11" x14ac:dyDescent="0.25">
      <c r="A16" s="26" t="s">
        <v>4</v>
      </c>
      <c r="B16" s="72">
        <v>36.340000000000003</v>
      </c>
      <c r="C16" s="72">
        <v>45.33</v>
      </c>
      <c r="D16" s="179">
        <v>32</v>
      </c>
      <c r="E16" s="45">
        <v>47.5</v>
      </c>
      <c r="F16">
        <v>28.9</v>
      </c>
      <c r="G16">
        <v>49.6</v>
      </c>
      <c r="H16" s="30">
        <v>25.3</v>
      </c>
      <c r="I16" s="31">
        <v>51.3</v>
      </c>
    </row>
    <row r="17" spans="1:9" x14ac:dyDescent="0.25">
      <c r="A17" s="25" t="s">
        <v>5</v>
      </c>
      <c r="B17" s="72">
        <v>28</v>
      </c>
      <c r="C17" s="72">
        <v>46.6</v>
      </c>
      <c r="D17" s="180">
        <v>25.2</v>
      </c>
      <c r="E17" s="72">
        <v>46</v>
      </c>
      <c r="F17" s="21">
        <v>23.4</v>
      </c>
      <c r="G17" s="13">
        <v>45.6</v>
      </c>
      <c r="H17" s="51">
        <v>22.2</v>
      </c>
      <c r="I17" s="29">
        <v>44.5</v>
      </c>
    </row>
    <row r="18" spans="1:9" x14ac:dyDescent="0.25">
      <c r="A18" s="209" t="s">
        <v>182</v>
      </c>
      <c r="B18" s="209"/>
      <c r="C18" s="209"/>
      <c r="D18" s="209"/>
      <c r="E18" s="209"/>
      <c r="F18" s="209"/>
    </row>
  </sheetData>
  <mergeCells count="9">
    <mergeCell ref="A1:I1"/>
    <mergeCell ref="A18:F18"/>
    <mergeCell ref="F2:G2"/>
    <mergeCell ref="H2:I2"/>
    <mergeCell ref="D2:E2"/>
    <mergeCell ref="A6:I6"/>
    <mergeCell ref="A10:I10"/>
    <mergeCell ref="A14:I14"/>
    <mergeCell ref="B2:C2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zoomScaleNormal="100" workbookViewId="0">
      <selection activeCell="N18" sqref="N18:Q18"/>
    </sheetView>
  </sheetViews>
  <sheetFormatPr defaultRowHeight="15" x14ac:dyDescent="0.25"/>
  <cols>
    <col min="1" max="1" width="17" customWidth="1"/>
    <col min="2" max="17" width="12.7109375" customWidth="1"/>
  </cols>
  <sheetData>
    <row r="1" spans="1:18" x14ac:dyDescent="0.25">
      <c r="A1" s="278" t="s">
        <v>208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8" x14ac:dyDescent="0.25">
      <c r="A2" s="68"/>
      <c r="B2" s="68"/>
      <c r="C2" s="68"/>
      <c r="D2" s="68"/>
      <c r="E2" s="68"/>
      <c r="F2" s="68"/>
    </row>
    <row r="3" spans="1:18" ht="54" customHeight="1" x14ac:dyDescent="0.25">
      <c r="B3" s="248" t="s">
        <v>166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53"/>
    </row>
    <row r="4" spans="1:18" x14ac:dyDescent="0.25">
      <c r="A4" s="68"/>
      <c r="B4" s="260" t="s">
        <v>203</v>
      </c>
      <c r="C4" s="261"/>
      <c r="D4" s="261"/>
      <c r="E4" s="262"/>
      <c r="F4" s="260" t="s">
        <v>204</v>
      </c>
      <c r="G4" s="261"/>
      <c r="H4" s="261"/>
      <c r="I4" s="262"/>
      <c r="J4" s="260" t="s">
        <v>207</v>
      </c>
      <c r="K4" s="261"/>
      <c r="L4" s="261"/>
      <c r="M4" s="262"/>
      <c r="N4" s="260" t="s">
        <v>206</v>
      </c>
      <c r="O4" s="261"/>
      <c r="P4" s="261"/>
      <c r="Q4" s="262"/>
    </row>
    <row r="5" spans="1:18" ht="45" x14ac:dyDescent="0.25">
      <c r="A5" s="98" t="s">
        <v>29</v>
      </c>
      <c r="B5" s="197" t="s">
        <v>167</v>
      </c>
      <c r="C5" s="198" t="s">
        <v>168</v>
      </c>
      <c r="D5" s="198" t="s">
        <v>169</v>
      </c>
      <c r="E5" s="199" t="s">
        <v>191</v>
      </c>
      <c r="F5" s="197" t="s">
        <v>167</v>
      </c>
      <c r="G5" s="198" t="s">
        <v>168</v>
      </c>
      <c r="H5" s="198" t="s">
        <v>169</v>
      </c>
      <c r="I5" s="199" t="s">
        <v>191</v>
      </c>
      <c r="J5" s="197" t="s">
        <v>167</v>
      </c>
      <c r="K5" s="198" t="s">
        <v>168</v>
      </c>
      <c r="L5" s="198" t="s">
        <v>169</v>
      </c>
      <c r="M5" s="199" t="s">
        <v>191</v>
      </c>
      <c r="N5" s="197" t="s">
        <v>167</v>
      </c>
      <c r="O5" s="198" t="s">
        <v>168</v>
      </c>
      <c r="P5" s="198" t="s">
        <v>169</v>
      </c>
      <c r="Q5" s="199" t="s">
        <v>191</v>
      </c>
    </row>
    <row r="6" spans="1:18" ht="30" x14ac:dyDescent="0.25">
      <c r="A6" s="97" t="s">
        <v>30</v>
      </c>
      <c r="B6" s="76">
        <v>27.59</v>
      </c>
      <c r="C6" s="76">
        <v>60.34</v>
      </c>
      <c r="D6" s="76">
        <v>10.34</v>
      </c>
      <c r="E6" s="80">
        <v>1.72</v>
      </c>
      <c r="F6" s="76">
        <v>40.6</v>
      </c>
      <c r="G6" s="76">
        <v>48.4</v>
      </c>
      <c r="H6" s="76">
        <v>10.9</v>
      </c>
      <c r="I6" s="77">
        <v>0</v>
      </c>
      <c r="J6" s="75">
        <v>42.9</v>
      </c>
      <c r="K6" s="76">
        <v>41.1</v>
      </c>
      <c r="L6" s="76">
        <v>16.100000000000001</v>
      </c>
      <c r="M6" s="77">
        <v>0</v>
      </c>
      <c r="N6" s="78">
        <v>36.4</v>
      </c>
      <c r="O6" s="79">
        <v>51.5</v>
      </c>
      <c r="P6" s="79">
        <v>9.1</v>
      </c>
      <c r="Q6" s="80">
        <v>1.5</v>
      </c>
    </row>
    <row r="7" spans="1:18" ht="45" x14ac:dyDescent="0.25">
      <c r="A7" s="97" t="s">
        <v>39</v>
      </c>
      <c r="B7" s="76">
        <v>44.51</v>
      </c>
      <c r="C7" s="76">
        <v>43.96</v>
      </c>
      <c r="D7" s="76">
        <v>8.24</v>
      </c>
      <c r="E7" s="77">
        <v>2.75</v>
      </c>
      <c r="F7" s="76">
        <v>41.1</v>
      </c>
      <c r="G7" s="76">
        <v>46.3</v>
      </c>
      <c r="H7" s="76">
        <v>10.4</v>
      </c>
      <c r="I7" s="76">
        <v>1.7</v>
      </c>
      <c r="J7" s="75">
        <v>36.5</v>
      </c>
      <c r="K7" s="76">
        <v>50.6</v>
      </c>
      <c r="L7" s="76">
        <v>12.4</v>
      </c>
      <c r="M7" s="77">
        <v>0.4</v>
      </c>
      <c r="N7" s="75">
        <v>37.799999999999997</v>
      </c>
      <c r="O7" s="76">
        <v>45</v>
      </c>
      <c r="P7" s="76">
        <v>12.8</v>
      </c>
      <c r="Q7" s="77">
        <v>4.4000000000000004</v>
      </c>
    </row>
    <row r="8" spans="1:18" ht="30" x14ac:dyDescent="0.25">
      <c r="A8" s="97" t="s">
        <v>31</v>
      </c>
      <c r="B8" s="76">
        <v>43.67</v>
      </c>
      <c r="C8" s="76">
        <v>51.09</v>
      </c>
      <c r="D8" s="76">
        <v>3.93</v>
      </c>
      <c r="E8" s="77">
        <v>0.44</v>
      </c>
      <c r="F8" s="76">
        <v>54.1</v>
      </c>
      <c r="G8" s="76">
        <v>41.9</v>
      </c>
      <c r="H8" s="76">
        <v>3.5</v>
      </c>
      <c r="I8" s="76">
        <v>0.4</v>
      </c>
      <c r="J8" s="75">
        <v>43.7</v>
      </c>
      <c r="K8" s="76">
        <v>52.4</v>
      </c>
      <c r="L8" s="76">
        <v>3</v>
      </c>
      <c r="M8" s="77">
        <v>0.9</v>
      </c>
      <c r="N8" s="75">
        <v>40.299999999999997</v>
      </c>
      <c r="O8" s="76">
        <v>47.2</v>
      </c>
      <c r="P8" s="76">
        <v>10.5</v>
      </c>
      <c r="Q8" s="77">
        <v>1.2</v>
      </c>
      <c r="R8" s="72"/>
    </row>
    <row r="9" spans="1:18" ht="60" x14ac:dyDescent="0.25">
      <c r="A9" s="97" t="s">
        <v>44</v>
      </c>
      <c r="B9" s="76">
        <v>62.2</v>
      </c>
      <c r="C9" s="76">
        <v>33.54</v>
      </c>
      <c r="D9" s="76">
        <v>2.44</v>
      </c>
      <c r="E9" s="77">
        <v>1.83</v>
      </c>
      <c r="F9" s="76">
        <v>56.1</v>
      </c>
      <c r="G9" s="76">
        <v>34.799999999999997</v>
      </c>
      <c r="H9" s="76">
        <v>7.7</v>
      </c>
      <c r="I9" s="76">
        <v>1.3</v>
      </c>
      <c r="J9" s="75">
        <v>58.8</v>
      </c>
      <c r="K9" s="76">
        <v>32.4</v>
      </c>
      <c r="L9" s="76">
        <v>7.4</v>
      </c>
      <c r="M9" s="77">
        <v>1.5</v>
      </c>
      <c r="N9" s="75">
        <v>64.900000000000006</v>
      </c>
      <c r="O9" s="76">
        <v>31.9</v>
      </c>
      <c r="P9" s="76">
        <v>2.1</v>
      </c>
      <c r="Q9" s="77">
        <v>1.1000000000000001</v>
      </c>
    </row>
    <row r="10" spans="1:18" x14ac:dyDescent="0.25">
      <c r="A10" s="97" t="s">
        <v>32</v>
      </c>
      <c r="B10" s="76">
        <v>60.67</v>
      </c>
      <c r="C10" s="76">
        <v>30.9</v>
      </c>
      <c r="D10" s="76">
        <v>6.74</v>
      </c>
      <c r="E10" s="77">
        <v>1.69</v>
      </c>
      <c r="F10" s="76">
        <v>65.099999999999994</v>
      </c>
      <c r="G10" s="76">
        <v>28.5</v>
      </c>
      <c r="H10" s="76">
        <v>5.2</v>
      </c>
      <c r="I10" s="76">
        <v>0.4</v>
      </c>
      <c r="J10" s="75">
        <v>57.4</v>
      </c>
      <c r="K10" s="76">
        <v>35.700000000000003</v>
      </c>
      <c r="L10" s="76">
        <v>5.7</v>
      </c>
      <c r="M10" s="77">
        <v>0.9</v>
      </c>
      <c r="N10" s="75">
        <v>58.5</v>
      </c>
      <c r="O10" s="76">
        <v>37.200000000000003</v>
      </c>
      <c r="P10" s="76">
        <v>3.4</v>
      </c>
      <c r="Q10" s="77">
        <v>0.4</v>
      </c>
    </row>
    <row r="11" spans="1:18" ht="60" x14ac:dyDescent="0.25">
      <c r="A11" s="97" t="s">
        <v>33</v>
      </c>
      <c r="B11" s="76">
        <v>49.68</v>
      </c>
      <c r="C11" s="76">
        <v>42.58</v>
      </c>
      <c r="D11" s="76">
        <v>6.45</v>
      </c>
      <c r="E11" s="77">
        <v>0.65</v>
      </c>
      <c r="F11" s="76">
        <v>44.2</v>
      </c>
      <c r="G11" s="76">
        <v>40.6</v>
      </c>
      <c r="H11" s="76">
        <v>13.9</v>
      </c>
      <c r="I11" s="76">
        <v>1.2</v>
      </c>
      <c r="J11" s="75">
        <v>54</v>
      </c>
      <c r="K11" s="76">
        <v>40.299999999999997</v>
      </c>
      <c r="L11" s="76">
        <v>5.8</v>
      </c>
      <c r="M11" s="77">
        <v>0</v>
      </c>
      <c r="N11" s="75">
        <v>37.9</v>
      </c>
      <c r="O11" s="76">
        <v>54.9</v>
      </c>
      <c r="P11" s="76">
        <v>6.5</v>
      </c>
      <c r="Q11" s="77">
        <v>0</v>
      </c>
    </row>
    <row r="12" spans="1:18" ht="45" x14ac:dyDescent="0.25">
      <c r="A12" s="97" t="s">
        <v>43</v>
      </c>
      <c r="B12" s="76">
        <v>41.09</v>
      </c>
      <c r="C12" s="76">
        <v>51.94</v>
      </c>
      <c r="D12" s="76">
        <v>6.2</v>
      </c>
      <c r="E12" s="77">
        <v>0</v>
      </c>
      <c r="F12" s="76">
        <v>48.9</v>
      </c>
      <c r="G12" s="76">
        <v>37.799999999999997</v>
      </c>
      <c r="H12" s="76">
        <v>12.6</v>
      </c>
      <c r="I12" s="76">
        <v>0.7</v>
      </c>
      <c r="J12" s="75">
        <v>39.6</v>
      </c>
      <c r="K12" s="76">
        <v>49.6</v>
      </c>
      <c r="L12" s="76">
        <v>9.4</v>
      </c>
      <c r="M12" s="77">
        <v>1.4</v>
      </c>
      <c r="N12" s="75">
        <v>44.8</v>
      </c>
      <c r="O12" s="76">
        <v>49.6</v>
      </c>
      <c r="P12" s="76">
        <v>4.8</v>
      </c>
      <c r="Q12" s="77">
        <v>0.8</v>
      </c>
    </row>
    <row r="13" spans="1:18" ht="90" x14ac:dyDescent="0.25">
      <c r="A13" s="97" t="s">
        <v>45</v>
      </c>
      <c r="B13" s="76">
        <v>49</v>
      </c>
      <c r="C13" s="76">
        <v>41.04</v>
      </c>
      <c r="D13" s="76">
        <v>7.97</v>
      </c>
      <c r="E13" s="77">
        <v>1.2</v>
      </c>
      <c r="F13" s="76">
        <v>35.5</v>
      </c>
      <c r="G13" s="76">
        <v>50.2</v>
      </c>
      <c r="H13" s="76">
        <v>13.4</v>
      </c>
      <c r="I13" s="76">
        <v>0.9</v>
      </c>
      <c r="J13" s="75">
        <v>47.3</v>
      </c>
      <c r="K13" s="76">
        <v>45.7</v>
      </c>
      <c r="L13" s="76">
        <v>5.9</v>
      </c>
      <c r="M13" s="77">
        <v>0.5</v>
      </c>
      <c r="N13" s="75">
        <v>45</v>
      </c>
      <c r="O13" s="76">
        <v>43.9</v>
      </c>
      <c r="P13" s="76">
        <v>10.6</v>
      </c>
      <c r="Q13" s="77">
        <v>0</v>
      </c>
    </row>
    <row r="14" spans="1:18" x14ac:dyDescent="0.25">
      <c r="A14" s="97" t="s">
        <v>34</v>
      </c>
      <c r="B14" s="76">
        <v>54.76</v>
      </c>
      <c r="C14" s="76">
        <v>35.71</v>
      </c>
      <c r="D14" s="76">
        <v>9.52</v>
      </c>
      <c r="E14" s="77">
        <v>0</v>
      </c>
      <c r="F14" s="76">
        <v>59.4</v>
      </c>
      <c r="G14" s="76">
        <v>33.299999999999997</v>
      </c>
      <c r="H14" s="76">
        <v>2.9</v>
      </c>
      <c r="I14" s="77">
        <v>0</v>
      </c>
      <c r="J14" s="75">
        <v>58.6</v>
      </c>
      <c r="K14" s="76">
        <v>34.299999999999997</v>
      </c>
      <c r="L14" s="76">
        <v>7.1</v>
      </c>
      <c r="M14" s="77">
        <v>0</v>
      </c>
      <c r="N14" s="75">
        <v>44.9</v>
      </c>
      <c r="O14" s="76">
        <v>43.8</v>
      </c>
      <c r="P14" s="76">
        <v>9</v>
      </c>
      <c r="Q14" s="77">
        <v>1.1000000000000001</v>
      </c>
    </row>
    <row r="15" spans="1:18" ht="45" x14ac:dyDescent="0.25">
      <c r="A15" s="97" t="s">
        <v>40</v>
      </c>
      <c r="B15" s="76">
        <v>55.41</v>
      </c>
      <c r="C15" s="76">
        <v>29.73</v>
      </c>
      <c r="D15" s="76">
        <v>9.4600000000000009</v>
      </c>
      <c r="E15" s="77">
        <v>5.41</v>
      </c>
      <c r="F15" s="76">
        <v>50</v>
      </c>
      <c r="G15" s="76">
        <v>38.299999999999997</v>
      </c>
      <c r="H15" s="76">
        <v>10</v>
      </c>
      <c r="I15" s="76">
        <v>1.7</v>
      </c>
      <c r="J15" s="75">
        <v>60</v>
      </c>
      <c r="K15" s="76">
        <v>36.700000000000003</v>
      </c>
      <c r="L15" s="76">
        <v>3.3</v>
      </c>
      <c r="M15" s="77">
        <v>0</v>
      </c>
      <c r="N15" s="75">
        <v>57.1</v>
      </c>
      <c r="O15" s="76">
        <v>38.1</v>
      </c>
      <c r="P15" s="76">
        <v>3.2</v>
      </c>
      <c r="Q15" s="77">
        <v>1.6</v>
      </c>
    </row>
    <row r="16" spans="1:18" ht="45" x14ac:dyDescent="0.25">
      <c r="A16" s="99" t="s">
        <v>35</v>
      </c>
      <c r="B16" s="82">
        <v>21.28</v>
      </c>
      <c r="C16" s="82">
        <v>47.52</v>
      </c>
      <c r="D16" s="82">
        <v>25.66</v>
      </c>
      <c r="E16" s="83">
        <v>4.96</v>
      </c>
      <c r="F16" s="82">
        <v>21.9</v>
      </c>
      <c r="G16" s="82">
        <v>53.2</v>
      </c>
      <c r="H16" s="82">
        <v>20.9</v>
      </c>
      <c r="I16" s="82">
        <v>3.7</v>
      </c>
      <c r="J16" s="81">
        <v>19.8</v>
      </c>
      <c r="K16" s="82">
        <v>54.8</v>
      </c>
      <c r="L16" s="82">
        <v>20.5</v>
      </c>
      <c r="M16" s="83">
        <v>4.5999999999999996</v>
      </c>
      <c r="N16" s="81">
        <v>27.2</v>
      </c>
      <c r="O16" s="82">
        <v>49.4</v>
      </c>
      <c r="P16" s="82">
        <v>19.399999999999999</v>
      </c>
      <c r="Q16" s="83">
        <v>3.5</v>
      </c>
    </row>
    <row r="17" spans="1:17" ht="54" customHeight="1" x14ac:dyDescent="0.25">
      <c r="A17" s="178"/>
      <c r="B17" s="248" t="s">
        <v>166</v>
      </c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53"/>
    </row>
    <row r="18" spans="1:17" x14ac:dyDescent="0.25">
      <c r="A18" s="202"/>
      <c r="B18" s="260" t="s">
        <v>203</v>
      </c>
      <c r="C18" s="261"/>
      <c r="D18" s="261"/>
      <c r="E18" s="262"/>
      <c r="F18" s="260" t="s">
        <v>204</v>
      </c>
      <c r="G18" s="261"/>
      <c r="H18" s="261"/>
      <c r="I18" s="262"/>
      <c r="J18" s="260" t="s">
        <v>207</v>
      </c>
      <c r="K18" s="261"/>
      <c r="L18" s="261"/>
      <c r="M18" s="262"/>
      <c r="N18" s="260" t="s">
        <v>206</v>
      </c>
      <c r="O18" s="261"/>
      <c r="P18" s="261"/>
      <c r="Q18" s="262"/>
    </row>
    <row r="19" spans="1:17" ht="45" x14ac:dyDescent="0.25">
      <c r="A19" s="98" t="s">
        <v>29</v>
      </c>
      <c r="B19" s="197" t="s">
        <v>167</v>
      </c>
      <c r="C19" s="198" t="s">
        <v>168</v>
      </c>
      <c r="D19" s="198" t="s">
        <v>169</v>
      </c>
      <c r="E19" s="199" t="s">
        <v>191</v>
      </c>
      <c r="F19" s="197" t="s">
        <v>167</v>
      </c>
      <c r="G19" s="198" t="s">
        <v>168</v>
      </c>
      <c r="H19" s="198" t="s">
        <v>169</v>
      </c>
      <c r="I19" s="199" t="s">
        <v>191</v>
      </c>
      <c r="J19" s="197" t="s">
        <v>167</v>
      </c>
      <c r="K19" s="198" t="s">
        <v>168</v>
      </c>
      <c r="L19" s="198" t="s">
        <v>169</v>
      </c>
      <c r="M19" s="199" t="s">
        <v>191</v>
      </c>
      <c r="N19" s="197" t="s">
        <v>167</v>
      </c>
      <c r="O19" s="198" t="s">
        <v>168</v>
      </c>
      <c r="P19" s="198" t="s">
        <v>169</v>
      </c>
      <c r="Q19" s="199" t="s">
        <v>191</v>
      </c>
    </row>
    <row r="20" spans="1:17" ht="30" x14ac:dyDescent="0.25">
      <c r="A20" s="97" t="s">
        <v>41</v>
      </c>
      <c r="B20" s="76">
        <v>70.52</v>
      </c>
      <c r="C20" s="76">
        <v>27.75</v>
      </c>
      <c r="D20" s="76">
        <v>1.73</v>
      </c>
      <c r="E20" s="77">
        <v>0</v>
      </c>
      <c r="F20" s="76">
        <v>64</v>
      </c>
      <c r="G20" s="76">
        <v>30.1</v>
      </c>
      <c r="H20" s="76">
        <v>4.4000000000000004</v>
      </c>
      <c r="I20" s="76">
        <v>0.7</v>
      </c>
      <c r="J20" s="75">
        <v>67.3</v>
      </c>
      <c r="K20" s="76">
        <v>30.2</v>
      </c>
      <c r="L20" s="76">
        <v>1.9</v>
      </c>
      <c r="M20" s="77">
        <v>0</v>
      </c>
      <c r="N20" s="75">
        <v>60.2</v>
      </c>
      <c r="O20" s="76">
        <v>38.200000000000003</v>
      </c>
      <c r="P20" s="76">
        <v>1.6</v>
      </c>
      <c r="Q20" s="77">
        <v>0</v>
      </c>
    </row>
    <row r="21" spans="1:17" ht="45" x14ac:dyDescent="0.25">
      <c r="A21" s="97" t="s">
        <v>42</v>
      </c>
      <c r="B21" s="76">
        <v>50</v>
      </c>
      <c r="C21" s="76">
        <v>45.19</v>
      </c>
      <c r="D21" s="76">
        <v>4.33</v>
      </c>
      <c r="E21" s="77">
        <v>0</v>
      </c>
      <c r="F21" s="76">
        <v>44.6</v>
      </c>
      <c r="G21" s="76">
        <v>46.7</v>
      </c>
      <c r="H21" s="76">
        <v>7.7</v>
      </c>
      <c r="I21" s="76">
        <v>0.5</v>
      </c>
      <c r="J21" s="75">
        <v>67.3</v>
      </c>
      <c r="K21" s="76">
        <v>30.2</v>
      </c>
      <c r="L21" s="76">
        <v>1.9</v>
      </c>
      <c r="M21" s="77">
        <v>0</v>
      </c>
      <c r="N21" s="75">
        <v>41.8</v>
      </c>
      <c r="O21" s="76">
        <v>46.4</v>
      </c>
      <c r="P21" s="76">
        <v>9.1999999999999993</v>
      </c>
      <c r="Q21" s="77">
        <v>2.6</v>
      </c>
    </row>
    <row r="22" spans="1:17" ht="30" x14ac:dyDescent="0.25">
      <c r="A22" s="97" t="s">
        <v>36</v>
      </c>
      <c r="B22" s="76">
        <v>67.069999999999993</v>
      </c>
      <c r="C22" s="76">
        <v>28.14</v>
      </c>
      <c r="D22" s="76">
        <v>4.79</v>
      </c>
      <c r="E22" s="77">
        <v>0</v>
      </c>
      <c r="F22" s="76">
        <v>59.2</v>
      </c>
      <c r="G22" s="76">
        <v>36.1</v>
      </c>
      <c r="H22" s="76">
        <v>4.8</v>
      </c>
      <c r="I22" s="77">
        <v>0</v>
      </c>
      <c r="J22" s="75">
        <v>57.1</v>
      </c>
      <c r="K22" s="76">
        <v>36.200000000000003</v>
      </c>
      <c r="L22" s="76">
        <v>6.1</v>
      </c>
      <c r="M22" s="77">
        <v>0.6</v>
      </c>
      <c r="N22" s="75">
        <v>50.8</v>
      </c>
      <c r="O22" s="76">
        <v>40.9</v>
      </c>
      <c r="P22" s="76">
        <v>7.2</v>
      </c>
      <c r="Q22" s="77">
        <v>1.1000000000000001</v>
      </c>
    </row>
    <row r="23" spans="1:17" ht="30" x14ac:dyDescent="0.25">
      <c r="A23" s="97" t="s">
        <v>37</v>
      </c>
      <c r="B23" s="76">
        <v>50.95</v>
      </c>
      <c r="C23" s="76">
        <v>39.81</v>
      </c>
      <c r="D23" s="76">
        <v>7.82</v>
      </c>
      <c r="E23" s="77">
        <v>0.95</v>
      </c>
      <c r="F23" s="76">
        <v>44.6</v>
      </c>
      <c r="G23" s="76">
        <v>46.6</v>
      </c>
      <c r="H23" s="76">
        <v>7.7</v>
      </c>
      <c r="I23" s="76">
        <v>0.9</v>
      </c>
      <c r="J23" s="81">
        <v>37.1</v>
      </c>
      <c r="K23" s="82">
        <v>51.9</v>
      </c>
      <c r="L23" s="82">
        <v>9.3000000000000007</v>
      </c>
      <c r="M23" s="83">
        <v>1.4</v>
      </c>
      <c r="N23" s="81">
        <v>35.200000000000003</v>
      </c>
      <c r="O23" s="82">
        <v>53.1</v>
      </c>
      <c r="P23" s="82">
        <v>10.8</v>
      </c>
      <c r="Q23" s="83">
        <v>0.7</v>
      </c>
    </row>
    <row r="24" spans="1:17" x14ac:dyDescent="0.25">
      <c r="A24" s="38" t="s">
        <v>38</v>
      </c>
      <c r="B24" s="184">
        <v>48.74</v>
      </c>
      <c r="C24" s="185">
        <v>40.82</v>
      </c>
      <c r="D24" s="185">
        <v>8.52</v>
      </c>
      <c r="E24" s="186">
        <v>1.49</v>
      </c>
      <c r="F24" s="85">
        <v>46.1</v>
      </c>
      <c r="G24" s="85">
        <v>42.6</v>
      </c>
      <c r="H24" s="85">
        <v>9.8000000000000007</v>
      </c>
      <c r="I24" s="86">
        <v>1.2</v>
      </c>
      <c r="J24" s="84">
        <v>43.9</v>
      </c>
      <c r="K24" s="85">
        <v>45.2</v>
      </c>
      <c r="L24" s="85">
        <v>9.3000000000000007</v>
      </c>
      <c r="M24" s="86">
        <v>1.4</v>
      </c>
      <c r="N24" s="84">
        <v>42.6</v>
      </c>
      <c r="O24" s="85">
        <v>46.1</v>
      </c>
      <c r="P24" s="85">
        <v>9.5</v>
      </c>
      <c r="Q24" s="86">
        <v>1.4</v>
      </c>
    </row>
    <row r="25" spans="1:17" x14ac:dyDescent="0.25">
      <c r="A25" s="38" t="s">
        <v>5</v>
      </c>
      <c r="B25" s="203">
        <v>38.299999999999997</v>
      </c>
      <c r="C25" s="203">
        <v>46.7</v>
      </c>
      <c r="D25" s="203">
        <v>12.4</v>
      </c>
      <c r="E25" s="186">
        <v>2.4</v>
      </c>
      <c r="F25" s="88">
        <v>35.9</v>
      </c>
      <c r="G25" s="88">
        <v>47</v>
      </c>
      <c r="H25" s="85">
        <v>14</v>
      </c>
      <c r="I25" s="86">
        <v>2.8</v>
      </c>
      <c r="J25" s="84">
        <v>35</v>
      </c>
      <c r="K25" s="85">
        <v>47.1</v>
      </c>
      <c r="L25" s="85">
        <v>14.6</v>
      </c>
      <c r="M25" s="86">
        <v>3</v>
      </c>
      <c r="N25" s="87">
        <v>33.6</v>
      </c>
      <c r="O25" s="88">
        <v>47.2</v>
      </c>
      <c r="P25" s="88">
        <v>15.7</v>
      </c>
      <c r="Q25" s="89">
        <v>3.2</v>
      </c>
    </row>
    <row r="26" spans="1:17" ht="15" customHeight="1" x14ac:dyDescent="0.25">
      <c r="A26" s="209" t="s">
        <v>182</v>
      </c>
      <c r="B26" s="209"/>
      <c r="C26" s="209"/>
      <c r="D26" s="209"/>
      <c r="E26" s="209"/>
      <c r="F26" s="209"/>
      <c r="G26" s="166"/>
    </row>
  </sheetData>
  <mergeCells count="12">
    <mergeCell ref="A26:F26"/>
    <mergeCell ref="F18:I18"/>
    <mergeCell ref="J18:M18"/>
    <mergeCell ref="A1:Q1"/>
    <mergeCell ref="N18:Q18"/>
    <mergeCell ref="N4:Q4"/>
    <mergeCell ref="B4:E4"/>
    <mergeCell ref="B18:E18"/>
    <mergeCell ref="B3:Q3"/>
    <mergeCell ref="F4:I4"/>
    <mergeCell ref="J4:M4"/>
    <mergeCell ref="B17:Q17"/>
  </mergeCells>
  <pageMargins left="0.7" right="0.7" top="0.75" bottom="0.75" header="0.3" footer="0.3"/>
  <pageSetup paperSize="9" scale="60" fitToHeight="0" orientation="landscape" r:id="rId1"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Copertina</vt:lpstr>
      <vt:lpstr>Ateneo</vt:lpstr>
      <vt:lpstr>Dipartimenti</vt:lpstr>
      <vt:lpstr>CdS</vt:lpstr>
      <vt:lpstr>Strutture</vt:lpstr>
      <vt:lpstr>Organizzazione esami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2022-04-29T08:42:19Z</dcterms:modified>
</cp:coreProperties>
</file>